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DieseArbeitsmappe" defaultThemeVersion="124226"/>
  <mc:AlternateContent xmlns:mc="http://schemas.openxmlformats.org/markup-compatibility/2006">
    <mc:Choice Requires="x15">
      <x15ac:absPath xmlns:x15ac="http://schemas.microsoft.com/office/spreadsheetml/2010/11/ac" url="G:\STADTPLANUNG\MOS\12_RUHENDER VERKEHR\Stellplatzrichtlinie Innsbruck 2018\"/>
    </mc:Choice>
  </mc:AlternateContent>
  <xr:revisionPtr revIDLastSave="0" documentId="8_{F8552D18-C336-45EF-AA8C-B315759A1039}" xr6:coauthVersionLast="47" xr6:coauthVersionMax="47" xr10:uidLastSave="{00000000-0000-0000-0000-000000000000}"/>
  <bookViews>
    <workbookView xWindow="-28920" yWindow="-120" windowWidth="29040" windowHeight="15840" tabRatio="687" xr2:uid="{00000000-000D-0000-FFFF-FFFF00000000}"/>
  </bookViews>
  <sheets>
    <sheet name="Gebietsabgrenzungs Übersicht" sheetId="12" r:id="rId1"/>
    <sheet name="Zentrales Hauptsiedlungsgebiet" sheetId="2" r:id="rId2"/>
    <sheet name="Hauptsiedlungsgebiet" sheetId="6" r:id="rId3"/>
    <sheet name="peripheres Hauptsiedlungsgebiet" sheetId="9" r:id="rId4"/>
    <sheet name="übriges Siedlungsgebiet" sheetId="10" r:id="rId5"/>
  </sheets>
  <definedNames>
    <definedName name="_xlnm.Print_Area" localSheetId="2">Hauptsiedlungsgebiet!$A$1:$G$85</definedName>
    <definedName name="_xlnm.Print_Area" localSheetId="3">'peripheres Hauptsiedlungsgebiet'!$A$1:$G$85</definedName>
    <definedName name="_xlnm.Print_Area" localSheetId="4">'übriges Siedlungsgebiet'!$A$1:$G$85</definedName>
    <definedName name="_xlnm.Print_Area" localSheetId="1">'Zentrales Hauptsiedlungsgebiet'!$A$1:$G$85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G14" i="2"/>
  <c r="G13" i="2"/>
  <c r="G15" i="2"/>
  <c r="G16" i="2"/>
  <c r="G48" i="2" l="1"/>
  <c r="G31" i="10"/>
  <c r="I61" i="10" l="1"/>
  <c r="I61" i="9"/>
  <c r="I61" i="6"/>
  <c r="I61" i="2"/>
  <c r="I13" i="10" l="1"/>
  <c r="I8" i="10"/>
  <c r="G16" i="10"/>
  <c r="G15" i="10"/>
  <c r="G14" i="10"/>
  <c r="G13" i="10"/>
  <c r="G62" i="10" s="1"/>
  <c r="G11" i="10"/>
  <c r="G10" i="10"/>
  <c r="G9" i="10"/>
  <c r="G8" i="10"/>
  <c r="I13" i="9"/>
  <c r="I8" i="9"/>
  <c r="G16" i="9"/>
  <c r="G15" i="9"/>
  <c r="G14" i="9"/>
  <c r="G13" i="9"/>
  <c r="G11" i="9"/>
  <c r="G10" i="9"/>
  <c r="G9" i="9"/>
  <c r="G8" i="9"/>
  <c r="I13" i="6"/>
  <c r="I8" i="6"/>
  <c r="G16" i="6"/>
  <c r="G15" i="6"/>
  <c r="G14" i="6"/>
  <c r="G13" i="6"/>
  <c r="G11" i="6"/>
  <c r="G10" i="6"/>
  <c r="G9" i="6"/>
  <c r="G8" i="6"/>
  <c r="G8" i="2"/>
  <c r="G9" i="2"/>
  <c r="G10" i="2"/>
  <c r="G11" i="2"/>
  <c r="I8" i="2"/>
  <c r="I13" i="2"/>
  <c r="G62" i="9" l="1"/>
  <c r="G62" i="6"/>
  <c r="G62" i="2"/>
  <c r="G20" i="9"/>
  <c r="G21" i="9"/>
  <c r="G22" i="9"/>
  <c r="G19" i="9"/>
  <c r="G20" i="10" l="1"/>
  <c r="G21" i="10"/>
  <c r="G22" i="10"/>
  <c r="G19" i="10"/>
  <c r="G20" i="2"/>
  <c r="G21" i="2"/>
  <c r="G22" i="2"/>
  <c r="G19" i="2"/>
  <c r="I24" i="10" l="1"/>
  <c r="I19" i="10"/>
  <c r="G25" i="10"/>
  <c r="G26" i="10"/>
  <c r="G27" i="10"/>
  <c r="G24" i="10"/>
  <c r="G25" i="9"/>
  <c r="G26" i="9"/>
  <c r="G27" i="9"/>
  <c r="G24" i="9"/>
  <c r="I24" i="9"/>
  <c r="I19" i="9"/>
  <c r="G20" i="6"/>
  <c r="G21" i="6"/>
  <c r="G22" i="6"/>
  <c r="G19" i="6"/>
  <c r="G27" i="6"/>
  <c r="G26" i="6"/>
  <c r="G25" i="6"/>
  <c r="G24" i="6"/>
  <c r="I24" i="6"/>
  <c r="I19" i="6"/>
  <c r="I24" i="2"/>
  <c r="G25" i="2"/>
  <c r="G26" i="2"/>
  <c r="G27" i="2"/>
  <c r="I19" i="2"/>
  <c r="G53" i="2" l="1"/>
  <c r="D15" i="10" l="1"/>
  <c r="D27" i="10"/>
  <c r="D26" i="10"/>
  <c r="D25" i="10"/>
  <c r="D24" i="10"/>
  <c r="D22" i="10"/>
  <c r="D21" i="10"/>
  <c r="D20" i="10"/>
  <c r="D19" i="10"/>
  <c r="D16" i="10"/>
  <c r="D14" i="10"/>
  <c r="D13" i="10"/>
  <c r="G59" i="10"/>
  <c r="D59" i="10"/>
  <c r="G58" i="10"/>
  <c r="D58" i="10"/>
  <c r="G57" i="10"/>
  <c r="G55" i="10"/>
  <c r="D55" i="10"/>
  <c r="G53" i="10"/>
  <c r="D53" i="10"/>
  <c r="G52" i="10"/>
  <c r="D52" i="10"/>
  <c r="G51" i="10"/>
  <c r="D51" i="10"/>
  <c r="G49" i="10"/>
  <c r="D49" i="10"/>
  <c r="G48" i="10"/>
  <c r="D48" i="10"/>
  <c r="G46" i="10"/>
  <c r="G45" i="10"/>
  <c r="D45" i="10"/>
  <c r="G44" i="10"/>
  <c r="D43" i="10"/>
  <c r="G42" i="10"/>
  <c r="D42" i="10"/>
  <c r="G40" i="10"/>
  <c r="D40" i="10"/>
  <c r="G39" i="10"/>
  <c r="D39" i="10"/>
  <c r="G38" i="10"/>
  <c r="D38" i="10"/>
  <c r="G36" i="10"/>
  <c r="D36" i="10"/>
  <c r="G35" i="10"/>
  <c r="D35" i="10"/>
  <c r="G34" i="10"/>
  <c r="D34" i="10"/>
  <c r="G33" i="10"/>
  <c r="D33" i="10"/>
  <c r="D31" i="10"/>
  <c r="G29" i="10"/>
  <c r="D29" i="10"/>
  <c r="G28" i="10"/>
  <c r="I29" i="10" s="1"/>
  <c r="D28" i="10"/>
  <c r="D59" i="9"/>
  <c r="D58" i="9"/>
  <c r="D55" i="9"/>
  <c r="D52" i="9"/>
  <c r="D51" i="9"/>
  <c r="D49" i="9"/>
  <c r="D48" i="9"/>
  <c r="D45" i="9"/>
  <c r="D43" i="9"/>
  <c r="D40" i="9"/>
  <c r="D39" i="9"/>
  <c r="D38" i="9"/>
  <c r="D34" i="9"/>
  <c r="D33" i="9"/>
  <c r="D31" i="9"/>
  <c r="D27" i="9"/>
  <c r="D26" i="9"/>
  <c r="D25" i="9"/>
  <c r="D24" i="9"/>
  <c r="D22" i="9"/>
  <c r="D21" i="9"/>
  <c r="D19" i="9"/>
  <c r="D20" i="9"/>
  <c r="D15" i="9"/>
  <c r="D16" i="9"/>
  <c r="D14" i="9"/>
  <c r="D13" i="9"/>
  <c r="G59" i="9"/>
  <c r="G58" i="9"/>
  <c r="G57" i="9"/>
  <c r="G55" i="9"/>
  <c r="G53" i="9"/>
  <c r="D53" i="9"/>
  <c r="G52" i="9"/>
  <c r="G51" i="9"/>
  <c r="G49" i="9"/>
  <c r="G48" i="9"/>
  <c r="G46" i="9"/>
  <c r="G45" i="9"/>
  <c r="G44" i="9"/>
  <c r="G42" i="9"/>
  <c r="D42" i="9"/>
  <c r="G40" i="9"/>
  <c r="G39" i="9"/>
  <c r="G38" i="9"/>
  <c r="G36" i="9"/>
  <c r="D36" i="9"/>
  <c r="G35" i="9"/>
  <c r="D35" i="9"/>
  <c r="G34" i="9"/>
  <c r="G33" i="9"/>
  <c r="G31" i="9"/>
  <c r="G29" i="9"/>
  <c r="D29" i="9"/>
  <c r="G28" i="9"/>
  <c r="I29" i="9" s="1"/>
  <c r="D28" i="9"/>
  <c r="D27" i="2"/>
  <c r="D26" i="2"/>
  <c r="D25" i="2"/>
  <c r="D24" i="2"/>
  <c r="D22" i="2"/>
  <c r="D21" i="2"/>
  <c r="D20" i="2"/>
  <c r="D19" i="2"/>
  <c r="D16" i="2"/>
  <c r="D15" i="2"/>
  <c r="D14" i="2"/>
  <c r="D13" i="2"/>
  <c r="G49" i="6"/>
  <c r="D27" i="6"/>
  <c r="D26" i="6"/>
  <c r="D25" i="6"/>
  <c r="D20" i="6"/>
  <c r="D24" i="6"/>
  <c r="D22" i="6"/>
  <c r="D21" i="6"/>
  <c r="D19" i="6"/>
  <c r="D16" i="6"/>
  <c r="D15" i="6"/>
  <c r="D14" i="6"/>
  <c r="D13" i="6"/>
  <c r="D58" i="6"/>
  <c r="D59" i="6"/>
  <c r="G53" i="6"/>
  <c r="D53" i="6"/>
  <c r="D52" i="6"/>
  <c r="D51" i="6"/>
  <c r="D49" i="6"/>
  <c r="D48" i="6"/>
  <c r="D45" i="6"/>
  <c r="G42" i="6"/>
  <c r="D43" i="6"/>
  <c r="D42" i="6"/>
  <c r="G40" i="6"/>
  <c r="D40" i="6"/>
  <c r="G39" i="6"/>
  <c r="D39" i="6"/>
  <c r="G38" i="6"/>
  <c r="D38" i="6"/>
  <c r="D36" i="6"/>
  <c r="G35" i="6"/>
  <c r="D35" i="6"/>
  <c r="G34" i="6"/>
  <c r="D34" i="6"/>
  <c r="G33" i="6"/>
  <c r="D33" i="6"/>
  <c r="G31" i="6"/>
  <c r="D31" i="6"/>
  <c r="G29" i="6"/>
  <c r="D29" i="6"/>
  <c r="G28" i="6"/>
  <c r="I29" i="6" s="1"/>
  <c r="D28" i="6"/>
  <c r="I59" i="10" l="1"/>
  <c r="G63" i="10" s="1"/>
  <c r="I59" i="9"/>
  <c r="G63" i="9" s="1"/>
  <c r="G60" i="10"/>
  <c r="G61" i="10" s="1"/>
  <c r="G60" i="9"/>
  <c r="G61" i="9" s="1"/>
  <c r="G59" i="6"/>
  <c r="G58" i="6"/>
  <c r="G57" i="6"/>
  <c r="G55" i="6"/>
  <c r="G52" i="6"/>
  <c r="G51" i="6"/>
  <c r="G48" i="6"/>
  <c r="G46" i="6"/>
  <c r="G45" i="6"/>
  <c r="G44" i="6"/>
  <c r="G36" i="6"/>
  <c r="G59" i="2"/>
  <c r="G58" i="2"/>
  <c r="D59" i="2"/>
  <c r="D58" i="2"/>
  <c r="D55" i="2"/>
  <c r="G55" i="2" s="1"/>
  <c r="D52" i="2"/>
  <c r="G52" i="2" s="1"/>
  <c r="D51" i="2"/>
  <c r="G51" i="2" s="1"/>
  <c r="D49" i="2"/>
  <c r="D48" i="2"/>
  <c r="G46" i="2"/>
  <c r="G45" i="2"/>
  <c r="D45" i="2"/>
  <c r="D43" i="2"/>
  <c r="D42" i="2"/>
  <c r="G42" i="2" s="1"/>
  <c r="G64" i="10" l="1"/>
  <c r="G64" i="9"/>
  <c r="I59" i="6"/>
  <c r="G63" i="6" s="1"/>
  <c r="G60" i="6"/>
  <c r="G61" i="6" s="1"/>
  <c r="D40" i="2"/>
  <c r="G40" i="2" s="1"/>
  <c r="D39" i="2"/>
  <c r="G39" i="2" s="1"/>
  <c r="D38" i="2"/>
  <c r="G38" i="2" s="1"/>
  <c r="G64" i="6" l="1"/>
  <c r="D36" i="2"/>
  <c r="G36" i="2" s="1"/>
  <c r="D35" i="2"/>
  <c r="G35" i="2" s="1"/>
  <c r="D34" i="2"/>
  <c r="G34" i="2" s="1"/>
  <c r="D33" i="2"/>
  <c r="G33" i="2" s="1"/>
  <c r="D31" i="2"/>
  <c r="G31" i="2" s="1"/>
  <c r="D29" i="2"/>
  <c r="G29" i="2" s="1"/>
  <c r="D28" i="2"/>
  <c r="G28" i="2" s="1"/>
  <c r="I29" i="2" s="1"/>
  <c r="G57" i="2" l="1"/>
  <c r="G49" i="2"/>
  <c r="G44" i="2"/>
  <c r="I59" i="2" l="1"/>
  <c r="G63" i="2" s="1"/>
  <c r="G60" i="2"/>
  <c r="G61" i="2" s="1"/>
  <c r="G64" i="2" l="1"/>
</calcChain>
</file>

<file path=xl/sharedStrings.xml><?xml version="1.0" encoding="utf-8"?>
<sst xmlns="http://schemas.openxmlformats.org/spreadsheetml/2006/main" count="976" uniqueCount="274">
  <si>
    <t>Büro- Verwaltungs- und Praxisräume</t>
  </si>
  <si>
    <t>1.</t>
  </si>
  <si>
    <t>1.2.</t>
  </si>
  <si>
    <t>1.3.</t>
  </si>
  <si>
    <t>Heime für Kinder und Jugendliche bis 18 Jahren</t>
  </si>
  <si>
    <t>1.4.</t>
  </si>
  <si>
    <t>Heime für in Ausbildung befindliche oder berufstätige Personen über 18 Jahre</t>
  </si>
  <si>
    <t>Gebäude mit Wohnnutzung</t>
  </si>
  <si>
    <t>2.</t>
  </si>
  <si>
    <t>2.1.</t>
  </si>
  <si>
    <t>3.</t>
  </si>
  <si>
    <t>Verkaufsstätten</t>
  </si>
  <si>
    <t>3.1.</t>
  </si>
  <si>
    <t>3.2.</t>
  </si>
  <si>
    <t>3.3.</t>
  </si>
  <si>
    <t>Fitnesscenter</t>
  </si>
  <si>
    <t>3.4.</t>
  </si>
  <si>
    <t>Läden und Geschäfte (bis 300m²)</t>
  </si>
  <si>
    <t>Ausstellungs- und Verkaufsflächen für große, flächenbeanspruchene Güter, sofern keine EKZ</t>
  </si>
  <si>
    <t>4.</t>
  </si>
  <si>
    <t>Gaststätten und Beherbergungsbetriebe</t>
  </si>
  <si>
    <t>4.1.</t>
  </si>
  <si>
    <t>Gaststätten, Restaurants, Cafes, Bars</t>
  </si>
  <si>
    <t>4.2.</t>
  </si>
  <si>
    <t>Hotels, Pensionen, Beherbergungsbetriebe</t>
  </si>
  <si>
    <t>4.3.</t>
  </si>
  <si>
    <t>Jugendherbergen</t>
  </si>
  <si>
    <t>5.</t>
  </si>
  <si>
    <t>Sonstige gewerbliche Nutzung</t>
  </si>
  <si>
    <t>5.1.</t>
  </si>
  <si>
    <t>Erzeugungs- und Dienstleistungsbetriebe</t>
  </si>
  <si>
    <t>5.2.</t>
  </si>
  <si>
    <t>Lagergebäude und -flächen</t>
  </si>
  <si>
    <t>5.3.</t>
  </si>
  <si>
    <t>Waschanlagen</t>
  </si>
  <si>
    <t>6.</t>
  </si>
  <si>
    <t>Versammlungsstätten</t>
  </si>
  <si>
    <t>6.1.</t>
  </si>
  <si>
    <t>6.2.</t>
  </si>
  <si>
    <t>7.</t>
  </si>
  <si>
    <t>Ausbildungsstätten, Schulen und Kindergärten</t>
  </si>
  <si>
    <t>7.1.</t>
  </si>
  <si>
    <t>Kindergärten</t>
  </si>
  <si>
    <t>7.2.</t>
  </si>
  <si>
    <t>Volks-, Haupt- und Mittelschulen, generell Ausbildungsstätten für Personen unter 18 Jahren</t>
  </si>
  <si>
    <t>7.3.</t>
  </si>
  <si>
    <t>Krankenanstalten</t>
  </si>
  <si>
    <t>8.</t>
  </si>
  <si>
    <t>8.1.</t>
  </si>
  <si>
    <t>(Alten-)Wohnheime (pflegeartige Betreuung, gemeinsame Einrichtungen)</t>
  </si>
  <si>
    <t>9.</t>
  </si>
  <si>
    <t>Verschiedenes</t>
  </si>
  <si>
    <t>9.1.</t>
  </si>
  <si>
    <t>9.2.</t>
  </si>
  <si>
    <t>Kleingartenanlagen</t>
  </si>
  <si>
    <t>10.1.</t>
  </si>
  <si>
    <t>1.1.</t>
  </si>
  <si>
    <t>1 Stpl. / 80m² LF</t>
  </si>
  <si>
    <t>2 Stpl. / Waschanlage</t>
  </si>
  <si>
    <t>1 Stpl. / 2 Kleingärten</t>
  </si>
  <si>
    <t>Anzahl</t>
  </si>
  <si>
    <r>
      <t>LF [m</t>
    </r>
    <r>
      <rPr>
        <vertAlign val="superscript"/>
        <sz val="11"/>
        <rFont val="Arial"/>
        <family val="2"/>
      </rPr>
      <t>2</t>
    </r>
    <r>
      <rPr>
        <sz val="11"/>
        <rFont val="Arial"/>
        <family val="2"/>
      </rPr>
      <t>]:</t>
    </r>
  </si>
  <si>
    <t>Kennwert</t>
  </si>
  <si>
    <t>Kleingärten:</t>
  </si>
  <si>
    <t>Eingabedaten für Berechnung</t>
  </si>
  <si>
    <t>Erforderliche Anzahl an Stellplätzen</t>
  </si>
  <si>
    <t>Legende:</t>
  </si>
  <si>
    <t>AF</t>
  </si>
  <si>
    <t>AP</t>
  </si>
  <si>
    <t>BF</t>
  </si>
  <si>
    <t>BP</t>
  </si>
  <si>
    <t>FBF</t>
  </si>
  <si>
    <t>FHF</t>
  </si>
  <si>
    <t>GF</t>
  </si>
  <si>
    <t>GSP</t>
  </si>
  <si>
    <t>HF</t>
  </si>
  <si>
    <t>KF</t>
  </si>
  <si>
    <t>LF</t>
  </si>
  <si>
    <t>NF</t>
  </si>
  <si>
    <t>SF</t>
  </si>
  <si>
    <t>SP</t>
  </si>
  <si>
    <t>VF</t>
  </si>
  <si>
    <t>WE</t>
  </si>
  <si>
    <t>WNF</t>
  </si>
  <si>
    <t>Der ermittelte Stellplatzbedarf ist nach mathematischen Regeln zu runden!</t>
  </si>
  <si>
    <t>…Ausstellungsfläche</t>
  </si>
  <si>
    <t>…Arbeitsplätze</t>
  </si>
  <si>
    <t>…Betriebsfläche</t>
  </si>
  <si>
    <t>…Besucherplatz</t>
  </si>
  <si>
    <t>…Freibadfläche</t>
  </si>
  <si>
    <t>…Friedhofsfläche</t>
  </si>
  <si>
    <t>…Gastraumfläche</t>
  </si>
  <si>
    <t>…Gesamtsitzplatzanzahl</t>
  </si>
  <si>
    <t>…Hallenfläche</t>
  </si>
  <si>
    <t>…Lagerfläche im Gebäude</t>
  </si>
  <si>
    <t>…Sportfläche</t>
  </si>
  <si>
    <t>…Sitzplätze</t>
  </si>
  <si>
    <t>…Verkaufsfläche</t>
  </si>
  <si>
    <t>Die Gesamtanzahl der erforderlichen Stellplätze beträgt:</t>
  </si>
  <si>
    <t>1.5.</t>
  </si>
  <si>
    <t>Bauvorhaben:</t>
  </si>
  <si>
    <t>Adresse:</t>
  </si>
  <si>
    <t>Geschäftszahl:</t>
  </si>
  <si>
    <t>Zentrales Hauptsiedlungsgebiet</t>
  </si>
  <si>
    <t>1.1.1.</t>
  </si>
  <si>
    <t>WE bis 60m² WNFL</t>
  </si>
  <si>
    <t>1.1.2.</t>
  </si>
  <si>
    <t>1.1.3.</t>
  </si>
  <si>
    <t>1.1.4.</t>
  </si>
  <si>
    <t>WE über 60 bis 80m² WNFL</t>
  </si>
  <si>
    <t>WE über 80 bis 110m² WNFL</t>
  </si>
  <si>
    <t>1.2.1.</t>
  </si>
  <si>
    <t>1.2.2.</t>
  </si>
  <si>
    <t>1.2.3.</t>
  </si>
  <si>
    <t>1.2.4.</t>
  </si>
  <si>
    <t>WE über 110m² WNFL</t>
  </si>
  <si>
    <t>1.3.1.</t>
  </si>
  <si>
    <t>1.3.2.</t>
  </si>
  <si>
    <t>bis (incl.) 5 WE</t>
  </si>
  <si>
    <t>mehr als 5 WE</t>
  </si>
  <si>
    <t>Betreutes Wohnen für SeniorInnen</t>
  </si>
  <si>
    <t>1.3.1.1.</t>
  </si>
  <si>
    <t>1.3.1.2.</t>
  </si>
  <si>
    <t>1.3.1.3.</t>
  </si>
  <si>
    <t>1.3.1.4.</t>
  </si>
  <si>
    <t>1.3.2.1.</t>
  </si>
  <si>
    <t>1.3.2.2.</t>
  </si>
  <si>
    <t>1.3.2.3.</t>
  </si>
  <si>
    <t>1.3.2.4.</t>
  </si>
  <si>
    <r>
      <t>0,60 Stpl. / WE</t>
    </r>
    <r>
      <rPr>
        <vertAlign val="superscript"/>
        <sz val="11"/>
        <color theme="1"/>
        <rFont val="Arial"/>
        <family val="2"/>
      </rPr>
      <t>1)</t>
    </r>
  </si>
  <si>
    <r>
      <t>1,00 Stpl. / WE</t>
    </r>
    <r>
      <rPr>
        <vertAlign val="superscript"/>
        <sz val="11"/>
        <color theme="1"/>
        <rFont val="Arial"/>
        <family val="2"/>
      </rPr>
      <t>1)</t>
    </r>
  </si>
  <si>
    <r>
      <t>0,80 Stpl. / WE</t>
    </r>
    <r>
      <rPr>
        <vertAlign val="superscript"/>
        <sz val="11"/>
        <color theme="1"/>
        <rFont val="Arial"/>
        <family val="2"/>
      </rPr>
      <t>1)</t>
    </r>
  </si>
  <si>
    <r>
      <t>0,90 Stpl. / WE</t>
    </r>
    <r>
      <rPr>
        <vertAlign val="superscript"/>
        <sz val="12"/>
        <color theme="1"/>
        <rFont val="Arial"/>
        <family val="2"/>
      </rPr>
      <t>1)</t>
    </r>
  </si>
  <si>
    <t>öffentliche Einrichtungen (Ämter-, Arztpraxen, Schalterhallen o.ä.) und sonstige Büro- und Verwaltungsräume</t>
  </si>
  <si>
    <t>Super- und Verbrauchermärkte (&gt;300m²)
sowie Einkaufszentren Betriebstyp A</t>
  </si>
  <si>
    <t>1 Stpl. / 200m² AF bzw. KF</t>
  </si>
  <si>
    <t>1 Stpl. / 300m² NF +
1 Stpl. / 4 AP
(mind. 1 Stpl.)</t>
  </si>
  <si>
    <t>1 Stpl / 4 Betten
(mind. 1 Stpl.)</t>
  </si>
  <si>
    <t>1 Stpl. / 30 Betten
(mind. 1 Stpl.)</t>
  </si>
  <si>
    <t>1 Stpl. / 40m² KF
(mind. 2 Stpl.)</t>
  </si>
  <si>
    <t>1 Stpl. / 35m² KF
(mind. 2 Stpl.)</t>
  </si>
  <si>
    <t>1 Stpl. / 20m² KF
(mind. 2 Stpl.)</t>
  </si>
  <si>
    <t>1 Stpl. / 12 Sitzplätze
(mind. 1 Stpl.)</t>
  </si>
  <si>
    <t>1 Stpl. / 7 Betten
(mind. 1 Stpl.)</t>
  </si>
  <si>
    <t>1 Stpl. / 15 Betten
(mind. 1 Stpl.)</t>
  </si>
  <si>
    <t>1 Stpl. / 300m² LF</t>
  </si>
  <si>
    <t>Theater, Konzert-, Kongresshäuser;
(Groß)Kino's mit überörtlicher Bedeutung</t>
  </si>
  <si>
    <t>1 Stpl. / 15 BP</t>
  </si>
  <si>
    <t>Sonstige Versammlungsstätten, Kino's, Vortragssäle, religiöse Versammlungsstätten</t>
  </si>
  <si>
    <t>1 Stpl. / 20 BP</t>
  </si>
  <si>
    <t>1 Stpl. / 5 Gruppenräume</t>
  </si>
  <si>
    <t>1 Stpl. / 4 Klassen</t>
  </si>
  <si>
    <t>1 Stpl. / 15 Betten</t>
  </si>
  <si>
    <t>1 Stpl. / 3 Kleiderablagen</t>
  </si>
  <si>
    <t>12 Stpol. / 6 Kleingärten</t>
  </si>
  <si>
    <t>Hauptsiedlungsgebiet</t>
  </si>
  <si>
    <t>peripheres Hauptsiedlungsgebiet</t>
  </si>
  <si>
    <t>übriges Siedlungsgebiet</t>
  </si>
  <si>
    <t>1 Stpl. / 20 Betten
(mind. 2 Stpl.)</t>
  </si>
  <si>
    <t>1 Stpl. / 60m² NF
(mind. 2 Stpl.)</t>
  </si>
  <si>
    <t>1 Stpl. / 30m² KF
(mind. 2 Stpl.)</t>
  </si>
  <si>
    <t>1 Stpl. / 25m² KF
(mind. 2 Stpl.)</t>
  </si>
  <si>
    <t>1 Stpl. / 15m² KF
(mind. 2 Stpl.)</t>
  </si>
  <si>
    <t>1 Stpl. / 100m² AF bzw. KF</t>
  </si>
  <si>
    <t>1 Stpl. / 10 Sitzplätze
(mind. 2 Stpl.)</t>
  </si>
  <si>
    <t>1 Stpl. / 4 Betten
(mind. 2 Stpl.)</t>
  </si>
  <si>
    <t>1 Stpl. / 13 Betten
(mind. 2 Stpl.)</t>
  </si>
  <si>
    <t>1 Stpl. / 200m² NF +
1 Stpl. / 3 AP
(mind. 2 Stpl.)</t>
  </si>
  <si>
    <t>1 Stpl. / 200m² LF</t>
  </si>
  <si>
    <t>1 Stpl. / 10 BP</t>
  </si>
  <si>
    <t>1 Stpl. / 2 Gruppenräume</t>
  </si>
  <si>
    <t>1 Stpl. / 2 Klassen</t>
  </si>
  <si>
    <t>1 Stpl. / 10 Betten</t>
  </si>
  <si>
    <t>1 Stpl. / 2,5 Kleiderablagen</t>
  </si>
  <si>
    <t>1 Stpl. / 4 Kleingärten</t>
  </si>
  <si>
    <r>
      <t>75% von 0,90 Stpl. / WE</t>
    </r>
    <r>
      <rPr>
        <vertAlign val="superscript"/>
        <sz val="11"/>
        <color theme="1"/>
        <rFont val="Arial"/>
        <family val="2"/>
      </rPr>
      <t>1)</t>
    </r>
  </si>
  <si>
    <r>
      <t>65% von 0,90 Stpl. / WE</t>
    </r>
    <r>
      <rPr>
        <vertAlign val="superscript"/>
        <sz val="11"/>
        <color theme="1"/>
        <rFont val="Arial"/>
        <family val="2"/>
      </rPr>
      <t>1)</t>
    </r>
  </si>
  <si>
    <t>1 Stpl / 3 Betten
(mind. 2 Stpl.)</t>
  </si>
  <si>
    <t>1 Stpl. / 10 Besucherplätze</t>
  </si>
  <si>
    <r>
      <t>85% von 0,60 Stpl. / WE</t>
    </r>
    <r>
      <rPr>
        <vertAlign val="superscript"/>
        <sz val="11"/>
        <color theme="1"/>
        <rFont val="Arial"/>
        <family val="2"/>
      </rPr>
      <t>1)</t>
    </r>
  </si>
  <si>
    <r>
      <t>85% von 0,80 Stpl. / WE</t>
    </r>
    <r>
      <rPr>
        <vertAlign val="superscript"/>
        <sz val="11"/>
        <color theme="1"/>
        <rFont val="Arial"/>
        <family val="2"/>
      </rPr>
      <t>1)</t>
    </r>
  </si>
  <si>
    <r>
      <t>85% von 0,90 Stpl. / WE</t>
    </r>
    <r>
      <rPr>
        <vertAlign val="superscript"/>
        <sz val="11"/>
        <color theme="1"/>
        <rFont val="Arial"/>
        <family val="2"/>
      </rPr>
      <t>1)</t>
    </r>
  </si>
  <si>
    <r>
      <t>85% von 1,00 Stpl. / WE</t>
    </r>
    <r>
      <rPr>
        <vertAlign val="superscript"/>
        <sz val="11"/>
        <color theme="1"/>
        <rFont val="Arial"/>
        <family val="2"/>
      </rPr>
      <t>1)</t>
    </r>
  </si>
  <si>
    <r>
      <t>75% von 0,60 Stpl. / WE</t>
    </r>
    <r>
      <rPr>
        <vertAlign val="superscript"/>
        <sz val="11"/>
        <color theme="1"/>
        <rFont val="Arial"/>
        <family val="2"/>
      </rPr>
      <t>1)</t>
    </r>
  </si>
  <si>
    <r>
      <t>75% von 0,80 Stpl. / WE</t>
    </r>
    <r>
      <rPr>
        <vertAlign val="superscript"/>
        <sz val="11"/>
        <color theme="1"/>
        <rFont val="Arial"/>
        <family val="2"/>
      </rPr>
      <t>1)</t>
    </r>
  </si>
  <si>
    <r>
      <t>75% von 1,00 Stpl. / WE</t>
    </r>
    <r>
      <rPr>
        <vertAlign val="superscript"/>
        <sz val="11"/>
        <color theme="1"/>
        <rFont val="Arial"/>
        <family val="2"/>
      </rPr>
      <t>1)</t>
    </r>
  </si>
  <si>
    <r>
      <t>65% von 0,60 Stpl. / WE</t>
    </r>
    <r>
      <rPr>
        <vertAlign val="superscript"/>
        <sz val="11"/>
        <color theme="1"/>
        <rFont val="Arial"/>
        <family val="2"/>
      </rPr>
      <t>1)</t>
    </r>
  </si>
  <si>
    <r>
      <t>65% von 0,80 Stpl. / WE</t>
    </r>
    <r>
      <rPr>
        <vertAlign val="superscript"/>
        <sz val="11"/>
        <color theme="1"/>
        <rFont val="Arial"/>
        <family val="2"/>
      </rPr>
      <t>1)</t>
    </r>
  </si>
  <si>
    <r>
      <t>65% von 1,00 Stpl. / WE</t>
    </r>
    <r>
      <rPr>
        <vertAlign val="superscript"/>
        <sz val="11"/>
        <color theme="1"/>
        <rFont val="Arial"/>
        <family val="2"/>
      </rPr>
      <t>1)</t>
    </r>
  </si>
  <si>
    <t>1 Stpl. / 40m² NF
(mind. 2 Stpl.)</t>
  </si>
  <si>
    <t>1 Stpl. / 8 Sitzplätze
(mind. 2 Stpl.)</t>
  </si>
  <si>
    <t>1 Stpl. / 3 Betten
(mind. 2 Stpl.)</t>
  </si>
  <si>
    <t>1 Stpl. / 10 Betten
(mind. 2 Stpl.)</t>
  </si>
  <si>
    <t>1 Stpl. / 200m² NF +
1 Stpl. / 2 AP
(mind. 2 Stpl.)</t>
  </si>
  <si>
    <t>1 Stpl. / 150m² LF</t>
  </si>
  <si>
    <t>1 Stpl. / 5 Besucherplätze</t>
  </si>
  <si>
    <t>1 Stpl. / Gruppenraum</t>
  </si>
  <si>
    <t>1 Stpl. / Klasse</t>
  </si>
  <si>
    <t>1 Stpl. / 8 Betten</t>
  </si>
  <si>
    <t>1 Stpl. / 2 Kleiderablagen</t>
  </si>
  <si>
    <t>Betten</t>
  </si>
  <si>
    <r>
      <t>NF [m</t>
    </r>
    <r>
      <rPr>
        <vertAlign val="superscript"/>
        <sz val="11"/>
        <rFont val="Arial"/>
        <family val="2"/>
      </rPr>
      <t>2</t>
    </r>
    <r>
      <rPr>
        <sz val="11"/>
        <rFont val="Arial"/>
        <family val="2"/>
      </rPr>
      <t>]</t>
    </r>
  </si>
  <si>
    <r>
      <t>KF [m</t>
    </r>
    <r>
      <rPr>
        <vertAlign val="superscript"/>
        <sz val="11"/>
        <rFont val="Arial"/>
        <family val="2"/>
      </rPr>
      <t>2</t>
    </r>
    <r>
      <rPr>
        <sz val="11"/>
        <rFont val="Arial"/>
        <family val="2"/>
      </rPr>
      <t>]</t>
    </r>
  </si>
  <si>
    <r>
      <t>AF bzw. KF [m</t>
    </r>
    <r>
      <rPr>
        <vertAlign val="superscript"/>
        <sz val="11"/>
        <rFont val="Arial"/>
        <family val="2"/>
      </rPr>
      <t>2</t>
    </r>
    <r>
      <rPr>
        <sz val="11"/>
        <rFont val="Arial"/>
        <family val="2"/>
      </rPr>
      <t>]</t>
    </r>
  </si>
  <si>
    <t>Sitzplätze</t>
  </si>
  <si>
    <r>
      <t>LF [m</t>
    </r>
    <r>
      <rPr>
        <vertAlign val="superscript"/>
        <sz val="11"/>
        <rFont val="Arial"/>
        <family val="2"/>
      </rPr>
      <t>2</t>
    </r>
    <r>
      <rPr>
        <sz val="11"/>
        <rFont val="Arial"/>
        <family val="2"/>
      </rPr>
      <t>]</t>
    </r>
  </si>
  <si>
    <t>Gruppenräume</t>
  </si>
  <si>
    <t>Klassen</t>
  </si>
  <si>
    <t>Auszubildende</t>
  </si>
  <si>
    <t>Kleiderablagen</t>
  </si>
  <si>
    <t>Kleingärten</t>
  </si>
  <si>
    <r>
      <t>0,90 Stpl. / WE</t>
    </r>
    <r>
      <rPr>
        <vertAlign val="superscript"/>
        <sz val="11"/>
        <color theme="1"/>
        <rFont val="Arial"/>
        <family val="2"/>
      </rPr>
      <t>2)</t>
    </r>
  </si>
  <si>
    <r>
      <t>1,20 Stpl. / WE</t>
    </r>
    <r>
      <rPr>
        <vertAlign val="superscript"/>
        <sz val="11"/>
        <color theme="1"/>
        <rFont val="Arial"/>
        <family val="2"/>
      </rPr>
      <t>2)</t>
    </r>
  </si>
  <si>
    <r>
      <t>1,40 Stpl. / WE</t>
    </r>
    <r>
      <rPr>
        <vertAlign val="superscript"/>
        <sz val="12"/>
        <color theme="1"/>
        <rFont val="Arial"/>
        <family val="2"/>
      </rPr>
      <t>2)</t>
    </r>
  </si>
  <si>
    <r>
      <t>1,50 Stpl. / WE</t>
    </r>
    <r>
      <rPr>
        <vertAlign val="superscript"/>
        <sz val="11"/>
        <color theme="1"/>
        <rFont val="Arial"/>
        <family val="2"/>
      </rPr>
      <t>2)</t>
    </r>
  </si>
  <si>
    <r>
      <t>1,00 Stpl. / WE</t>
    </r>
    <r>
      <rPr>
        <vertAlign val="superscript"/>
        <sz val="11"/>
        <color theme="1"/>
        <rFont val="Arial"/>
        <family val="2"/>
      </rPr>
      <t>2)</t>
    </r>
  </si>
  <si>
    <r>
      <t>1,70 Stpl. / WE</t>
    </r>
    <r>
      <rPr>
        <vertAlign val="superscript"/>
        <sz val="12"/>
        <color theme="1"/>
        <rFont val="Arial"/>
        <family val="2"/>
      </rPr>
      <t>2)</t>
    </r>
  </si>
  <si>
    <r>
      <t>2,00 Stpl. / WE</t>
    </r>
    <r>
      <rPr>
        <vertAlign val="superscript"/>
        <sz val="11"/>
        <color theme="1"/>
        <rFont val="Arial"/>
        <family val="2"/>
      </rPr>
      <t>2)</t>
    </r>
  </si>
  <si>
    <r>
      <t>1,70 Stpl. / WE</t>
    </r>
    <r>
      <rPr>
        <vertAlign val="superscript"/>
        <sz val="11"/>
        <color theme="1"/>
        <rFont val="Arial"/>
        <family val="2"/>
      </rPr>
      <t>2)</t>
    </r>
  </si>
  <si>
    <r>
      <t>1,90 Stpl. / WE</t>
    </r>
    <r>
      <rPr>
        <vertAlign val="superscript"/>
        <sz val="12"/>
        <color theme="1"/>
        <rFont val="Arial"/>
        <family val="2"/>
      </rPr>
      <t>2)</t>
    </r>
  </si>
  <si>
    <r>
      <t>2,10 Stpl. / WE</t>
    </r>
    <r>
      <rPr>
        <vertAlign val="superscript"/>
        <sz val="11"/>
        <color theme="1"/>
        <rFont val="Arial"/>
        <family val="2"/>
      </rPr>
      <t>2)</t>
    </r>
  </si>
  <si>
    <r>
      <t>75% von 1,20 Stpl. / WE</t>
    </r>
    <r>
      <rPr>
        <vertAlign val="superscript"/>
        <sz val="11"/>
        <color theme="1"/>
        <rFont val="Arial"/>
        <family val="2"/>
      </rPr>
      <t>2)</t>
    </r>
  </si>
  <si>
    <r>
      <t>75% von 1,70 Stpl. / WE</t>
    </r>
    <r>
      <rPr>
        <vertAlign val="superscript"/>
        <sz val="11"/>
        <color theme="1"/>
        <rFont val="Arial"/>
        <family val="2"/>
      </rPr>
      <t>2)</t>
    </r>
  </si>
  <si>
    <r>
      <t>75% von 1,90 Stpl. / WE</t>
    </r>
    <r>
      <rPr>
        <vertAlign val="superscript"/>
        <sz val="11"/>
        <color theme="1"/>
        <rFont val="Arial"/>
        <family val="2"/>
      </rPr>
      <t>2)</t>
    </r>
  </si>
  <si>
    <r>
      <t>75% von 2,10 Stpl. / WE</t>
    </r>
    <r>
      <rPr>
        <vertAlign val="superscript"/>
        <sz val="11"/>
        <color theme="1"/>
        <rFont val="Arial"/>
        <family val="2"/>
      </rPr>
      <t>2)</t>
    </r>
  </si>
  <si>
    <r>
      <t>65% von 1,20 Stpl. / WE</t>
    </r>
    <r>
      <rPr>
        <vertAlign val="superscript"/>
        <sz val="11"/>
        <color theme="1"/>
        <rFont val="Arial"/>
        <family val="2"/>
      </rPr>
      <t>2)</t>
    </r>
  </si>
  <si>
    <r>
      <t>65% von 1,70 Stpl. / WE</t>
    </r>
    <r>
      <rPr>
        <vertAlign val="superscript"/>
        <sz val="11"/>
        <color theme="1"/>
        <rFont val="Arial"/>
        <family val="2"/>
      </rPr>
      <t>2)</t>
    </r>
  </si>
  <si>
    <r>
      <t>65% von 1,90 Stpl. / WE</t>
    </r>
    <r>
      <rPr>
        <vertAlign val="superscript"/>
        <sz val="11"/>
        <color theme="1"/>
        <rFont val="Arial"/>
        <family val="2"/>
      </rPr>
      <t>2)</t>
    </r>
  </si>
  <si>
    <r>
      <t>65% von 2,10 Stpl. / WE</t>
    </r>
    <r>
      <rPr>
        <vertAlign val="superscript"/>
        <sz val="11"/>
        <color theme="1"/>
        <rFont val="Arial"/>
        <family val="2"/>
      </rPr>
      <t>2)</t>
    </r>
  </si>
  <si>
    <r>
      <t>85% von 1,20 Stpl. / WE</t>
    </r>
    <r>
      <rPr>
        <vertAlign val="superscript"/>
        <sz val="11"/>
        <color theme="1"/>
        <rFont val="Arial"/>
        <family val="2"/>
      </rPr>
      <t>2)</t>
    </r>
  </si>
  <si>
    <r>
      <t>85% von 1,70 Stpl. / WE</t>
    </r>
    <r>
      <rPr>
        <vertAlign val="superscript"/>
        <sz val="11"/>
        <color theme="1"/>
        <rFont val="Arial"/>
        <family val="2"/>
      </rPr>
      <t>2)</t>
    </r>
  </si>
  <si>
    <r>
      <t>85% von 1,90 Stpl. / WE</t>
    </r>
    <r>
      <rPr>
        <vertAlign val="superscript"/>
        <sz val="11"/>
        <color theme="1"/>
        <rFont val="Arial"/>
        <family val="2"/>
      </rPr>
      <t>2)</t>
    </r>
  </si>
  <si>
    <r>
      <t>85% von 2,10 Stpl. / WE</t>
    </r>
    <r>
      <rPr>
        <vertAlign val="superscript"/>
        <sz val="11"/>
        <color theme="1"/>
        <rFont val="Arial"/>
        <family val="2"/>
      </rPr>
      <t>2)</t>
    </r>
  </si>
  <si>
    <r>
      <t>75% von 1,00 Stpl. / WE</t>
    </r>
    <r>
      <rPr>
        <vertAlign val="superscript"/>
        <sz val="11"/>
        <color theme="1"/>
        <rFont val="Arial"/>
        <family val="2"/>
      </rPr>
      <t>2)</t>
    </r>
  </si>
  <si>
    <r>
      <t>75% von 1,50 Stpl. / WE</t>
    </r>
    <r>
      <rPr>
        <vertAlign val="superscript"/>
        <sz val="11"/>
        <color theme="1"/>
        <rFont val="Arial"/>
        <family val="2"/>
      </rPr>
      <t>2)</t>
    </r>
  </si>
  <si>
    <r>
      <t>75% von 2,00 Stpl. / WE</t>
    </r>
    <r>
      <rPr>
        <vertAlign val="superscript"/>
        <sz val="11"/>
        <color theme="1"/>
        <rFont val="Arial"/>
        <family val="2"/>
      </rPr>
      <t>2)</t>
    </r>
  </si>
  <si>
    <r>
      <t>65% von 1,50 Stpl. / WE</t>
    </r>
    <r>
      <rPr>
        <vertAlign val="superscript"/>
        <sz val="11"/>
        <color theme="1"/>
        <rFont val="Arial"/>
        <family val="2"/>
      </rPr>
      <t>2)</t>
    </r>
  </si>
  <si>
    <r>
      <t>65% von 2,00 Stpl. / WE</t>
    </r>
    <r>
      <rPr>
        <vertAlign val="superscript"/>
        <sz val="11"/>
        <color theme="1"/>
        <rFont val="Arial"/>
        <family val="2"/>
      </rPr>
      <t>2)</t>
    </r>
  </si>
  <si>
    <r>
      <t>85% von 1,00 Stpl. / WE</t>
    </r>
    <r>
      <rPr>
        <vertAlign val="superscript"/>
        <sz val="11"/>
        <color theme="1"/>
        <rFont val="Arial"/>
        <family val="2"/>
      </rPr>
      <t>2)</t>
    </r>
  </si>
  <si>
    <r>
      <t>85% von 1,50 Stpl. / WE</t>
    </r>
    <r>
      <rPr>
        <vertAlign val="superscript"/>
        <sz val="11"/>
        <color theme="1"/>
        <rFont val="Arial"/>
        <family val="2"/>
      </rPr>
      <t>2)</t>
    </r>
  </si>
  <si>
    <r>
      <t>85% von 2,00 Stpl. / WE</t>
    </r>
    <r>
      <rPr>
        <vertAlign val="superscript"/>
        <sz val="11"/>
        <color theme="1"/>
        <rFont val="Arial"/>
        <family val="2"/>
      </rPr>
      <t>2)</t>
    </r>
  </si>
  <si>
    <r>
      <t>75% von 0,90 Stpl. / WE</t>
    </r>
    <r>
      <rPr>
        <vertAlign val="superscript"/>
        <sz val="11"/>
        <color theme="1"/>
        <rFont val="Arial"/>
        <family val="2"/>
      </rPr>
      <t>2)</t>
    </r>
  </si>
  <si>
    <r>
      <t>75% von 1,40 Stpl. / WE</t>
    </r>
    <r>
      <rPr>
        <vertAlign val="superscript"/>
        <sz val="11"/>
        <color theme="1"/>
        <rFont val="Arial"/>
        <family val="2"/>
      </rPr>
      <t>2)</t>
    </r>
  </si>
  <si>
    <r>
      <t>65% von 0,90 Stpl. / WE</t>
    </r>
    <r>
      <rPr>
        <vertAlign val="superscript"/>
        <sz val="11"/>
        <color theme="1"/>
        <rFont val="Arial"/>
        <family val="2"/>
      </rPr>
      <t>2)</t>
    </r>
  </si>
  <si>
    <r>
      <t>65% von 1,40 Stpl. / WE</t>
    </r>
    <r>
      <rPr>
        <vertAlign val="superscript"/>
        <sz val="11"/>
        <color theme="1"/>
        <rFont val="Arial"/>
        <family val="2"/>
      </rPr>
      <t>2)</t>
    </r>
  </si>
  <si>
    <r>
      <t>85% von 1,40 Stpl. / WE</t>
    </r>
    <r>
      <rPr>
        <vertAlign val="superscript"/>
        <sz val="11"/>
        <color theme="1"/>
        <rFont val="Arial"/>
        <family val="2"/>
      </rPr>
      <t>2)</t>
    </r>
  </si>
  <si>
    <r>
      <t>65% von 1,00 Stpl. / WE</t>
    </r>
    <r>
      <rPr>
        <vertAlign val="superscript"/>
        <sz val="11"/>
        <color theme="1"/>
        <rFont val="Arial"/>
        <family val="2"/>
      </rPr>
      <t>2)</t>
    </r>
  </si>
  <si>
    <r>
      <rPr>
        <vertAlign val="superscript"/>
        <sz val="14"/>
        <color theme="1"/>
        <rFont val="Arial"/>
        <family val="2"/>
      </rPr>
      <t>1)</t>
    </r>
    <r>
      <rPr>
        <sz val="14"/>
        <color theme="1"/>
        <rFont val="Arial"/>
        <family val="2"/>
      </rPr>
      <t xml:space="preserve"> davon 5% Besucher</t>
    </r>
  </si>
  <si>
    <r>
      <rPr>
        <vertAlign val="superscript"/>
        <sz val="14"/>
        <color theme="1"/>
        <rFont val="Arial"/>
        <family val="2"/>
      </rPr>
      <t>2)</t>
    </r>
    <r>
      <rPr>
        <sz val="14"/>
        <color theme="1"/>
        <rFont val="Arial"/>
        <family val="2"/>
      </rPr>
      <t xml:space="preserve"> davon 10% Besucher</t>
    </r>
  </si>
  <si>
    <t>…Nutzfläche nach ÖNORM B 1800</t>
  </si>
  <si>
    <t>Stellplatzschlüssel
(Stand 2018-02-01)</t>
  </si>
  <si>
    <t>1 Stpl. / 80m² Nutzfläche
(mind. 1 Stpl.)</t>
  </si>
  <si>
    <t>Einkaufszentren Betriebstyp B
(früher IV bis V)</t>
  </si>
  <si>
    <t>…Kundenfläche nach §8 (2) TROG 16</t>
  </si>
  <si>
    <t>…Wohneinheit bzw. Wohnung</t>
  </si>
  <si>
    <t>Auf eine nähere Definition der letzteren Begriffe wurde wegen ihrer Komplexität bewusst verzichtet. Im Zweifelsfall kontaktieren Sie das Referat Verkehrs- und Umweltmanagement.</t>
  </si>
  <si>
    <t>generell Ausbildungsstätten für Personen über 18 Jahren (sonstige Einrichtungen wie Büros, Mensen, Cafe's etc. sind nicht pauschal enthalten)</t>
  </si>
  <si>
    <t>1 Stpl. / 10 Auszubildende
(Sitzplätze, Hörerpläte)
(mind. 2 Stpl.)</t>
  </si>
  <si>
    <t>1 Stpl. / 20 Auszubildende
(Sitzplätze, Hörerplätze)
(mind. 1 Stpl.)</t>
  </si>
  <si>
    <r>
      <t>85% von 0,90 Stpl. / WE</t>
    </r>
    <r>
      <rPr>
        <vertAlign val="superscript"/>
        <sz val="11"/>
        <color theme="1"/>
        <rFont val="Arial"/>
        <family val="2"/>
      </rPr>
      <t>2)</t>
    </r>
  </si>
  <si>
    <t>Neu, Zu-, oder Umbau von bis zu 6 WE</t>
  </si>
  <si>
    <t>Wohnanlagen (Neu, Zu-, oder Umbau von mehr als 6 WE)</t>
  </si>
  <si>
    <t>Ladepunkte</t>
  </si>
  <si>
    <t>Anzahl der Stellplätze mit
Leitungsinfrastruktur</t>
  </si>
  <si>
    <t>Barrierefreiestellplätze gem. §9 TBO (angemessene Anzahl gem. ÖNORM B 1600)*</t>
  </si>
  <si>
    <t xml:space="preserve">*Barrierefreie Stellplätze
 Anforderung für Wohnanlagen und Gebäude die regelmäßig
 auch von Menschen mit einer Behinderung aufgesucht werden
</t>
  </si>
  <si>
    <r>
      <rPr>
        <b/>
        <sz val="11"/>
        <color theme="1"/>
        <rFont val="Arial"/>
        <family val="2"/>
      </rPr>
      <t>Technische Bauvorschriften 9. Abschnitt</t>
    </r>
    <r>
      <rPr>
        <b/>
        <sz val="14"/>
        <color theme="1"/>
        <rFont val="Arial"/>
        <family val="2"/>
      </rPr>
      <t xml:space="preserve">
Elektromobilität</t>
    </r>
  </si>
  <si>
    <r>
      <t xml:space="preserve">TBV §37b Abs (5)
</t>
    </r>
    <r>
      <rPr>
        <b/>
        <sz val="10"/>
        <color theme="0"/>
        <rFont val="Arial"/>
        <family val="2"/>
      </rPr>
      <t>Bei Nichtwohngebäude, bei denen die Anzahl der nachzuweisenden Abstellmöglichkeiten mehr als zwanzig beträgt, ist bis zum 1. Jänner 2025 mindestens ein Ladepunkt für Elektrofahrzeuge zu errichten. (Die Nachrüstung eines Ladepunktes ist erforderlich)</t>
    </r>
  </si>
  <si>
    <t>Summe Nichtwohngebäude gerundet</t>
  </si>
  <si>
    <t>Summe Wohngebäude gerundet</t>
  </si>
  <si>
    <t>…Wohnnutzfläche je WE gemäß Stellplatzhöchstzahlenverordnung</t>
  </si>
  <si>
    <t>Stellplatzanzahl für einspurige Kraftfahrzeuge gem. §12 TBO für Wohnanlagen
(angemessene Anzahl gemäß Statistik Kfz Bestand)**</t>
  </si>
  <si>
    <t>Platzbedarf für Stellpätze einspurige Kfz
--&gt; siehe RVS 03.07.32 Entwurfsgrundlagen für Garagen</t>
  </si>
  <si>
    <t>**Berechnung Stellplatzanzahl einspurige Kfz:
   Statistik Austria Kfz Bestand 2024 Innsbruck Stadt
   Anteil einspuriger Fahrzeuge = 13% bezogen auf Pkws
   --&gt; vorgeschriebene Anzahl Pkw Stellplätze WA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</si>
</sst>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6" x14ac:knownFonts="1">
    <font>
      <sz val="11"/>
      <color theme="1"/>
      <name val="Arial"/>
      <family val="2"/>
    </font>
    <font>
      <sz val="11"/>
      <name val="Arial"/>
      <family val="2"/>
    </font>
    <font>
      <sz val="12"/>
      <color theme="1"/>
      <name val="Arial"/>
      <family val="2"/>
    </font>
    <font>
      <b/>
      <sz val="11"/>
      <color theme="1"/>
      <name val="Arial"/>
      <family val="2"/>
    </font>
    <font>
      <b/>
      <sz val="11"/>
      <name val="Arial"/>
      <family val="2"/>
    </font>
    <font>
      <vertAlign val="superscript"/>
      <sz val="11"/>
      <name val="Arial"/>
      <family val="2"/>
    </font>
    <font>
      <sz val="10"/>
      <color theme="1"/>
      <name val="Arial"/>
      <family val="2"/>
    </font>
    <font>
      <b/>
      <sz val="14"/>
      <color theme="1"/>
      <name val="Arial"/>
      <family val="2"/>
    </font>
    <font>
      <sz val="20"/>
      <color theme="0"/>
      <name val="Arial Black"/>
      <family val="2"/>
    </font>
    <font>
      <vertAlign val="superscript"/>
      <sz val="12"/>
      <color theme="1"/>
      <name val="Arial"/>
      <family val="2"/>
    </font>
    <font>
      <vertAlign val="superscript"/>
      <sz val="11"/>
      <color theme="1"/>
      <name val="Arial"/>
      <family val="2"/>
    </font>
    <font>
      <sz val="20"/>
      <name val="Arial Black"/>
      <family val="2"/>
    </font>
    <font>
      <sz val="14"/>
      <color theme="1"/>
      <name val="Arial"/>
      <family val="2"/>
    </font>
    <font>
      <vertAlign val="superscript"/>
      <sz val="14"/>
      <color theme="1"/>
      <name val="Arial"/>
      <family val="2"/>
    </font>
    <font>
      <b/>
      <sz val="11"/>
      <color theme="0"/>
      <name val="Arial"/>
      <family val="2"/>
    </font>
    <font>
      <b/>
      <sz val="10"/>
      <color theme="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bgColor indexed="64"/>
      </patternFill>
    </fill>
    <fill>
      <patternFill patternType="solid">
        <fgColor theme="6"/>
        <bgColor indexed="64"/>
      </patternFill>
    </fill>
    <fill>
      <patternFill patternType="solid">
        <fgColor theme="0"/>
        <bgColor indexed="64"/>
      </patternFill>
    </fill>
    <fill>
      <patternFill patternType="solid">
        <fgColor theme="5"/>
        <bgColor indexed="64"/>
      </patternFill>
    </fill>
    <fill>
      <patternFill patternType="solid">
        <fgColor rgb="FFFF3300"/>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93">
    <xf numFmtId="0" fontId="0" fillId="0" borderId="0" xfId="0"/>
    <xf numFmtId="0" fontId="2" fillId="0" borderId="0" xfId="0" applyFont="1" applyFill="1" applyBorder="1" applyAlignment="1" applyProtection="1">
      <alignment horizontal="center" vertical="center"/>
      <protection hidden="1"/>
    </xf>
    <xf numFmtId="0" fontId="0" fillId="0" borderId="0" xfId="0" applyBorder="1" applyProtection="1">
      <protection hidden="1"/>
    </xf>
    <xf numFmtId="0" fontId="0" fillId="0" borderId="0" xfId="0" applyProtection="1">
      <protection hidden="1"/>
    </xf>
    <xf numFmtId="0" fontId="0" fillId="0" borderId="0" xfId="0" applyFill="1" applyBorder="1" applyProtection="1">
      <protection hidden="1"/>
    </xf>
    <xf numFmtId="0" fontId="1" fillId="0" borderId="0" xfId="0" applyFont="1" applyFill="1" applyBorder="1" applyAlignment="1" applyProtection="1">
      <alignment vertical="center"/>
      <protection hidden="1"/>
    </xf>
    <xf numFmtId="0" fontId="0" fillId="0" borderId="0" xfId="0" applyAlignment="1" applyProtection="1">
      <alignment vertical="center"/>
      <protection hidden="1"/>
    </xf>
    <xf numFmtId="2" fontId="1" fillId="0" borderId="0" xfId="0" applyNumberFormat="1" applyFont="1" applyFill="1" applyBorder="1" applyAlignment="1" applyProtection="1">
      <alignment vertical="center"/>
      <protection hidden="1"/>
    </xf>
    <xf numFmtId="2" fontId="1" fillId="0" borderId="0" xfId="0" applyNumberFormat="1" applyFont="1" applyFill="1" applyBorder="1" applyAlignment="1" applyProtection="1">
      <alignment horizontal="center" vertical="center"/>
      <protection hidden="1"/>
    </xf>
    <xf numFmtId="0" fontId="1" fillId="0" borderId="0" xfId="0" applyFont="1" applyFill="1" applyAlignment="1" applyProtection="1">
      <alignment vertical="center"/>
      <protection hidden="1"/>
    </xf>
    <xf numFmtId="0" fontId="0" fillId="0" borderId="0" xfId="0" applyFont="1" applyFill="1" applyBorder="1" applyAlignment="1" applyProtection="1">
      <alignment vertical="center"/>
      <protection hidden="1"/>
    </xf>
    <xf numFmtId="0" fontId="0" fillId="0" borderId="0" xfId="0" applyFont="1" applyFill="1" applyProtection="1">
      <protection hidden="1"/>
    </xf>
    <xf numFmtId="0" fontId="0" fillId="0" borderId="0" xfId="0" applyFont="1" applyFill="1" applyAlignment="1" applyProtection="1">
      <alignment horizontal="left"/>
      <protection hidden="1"/>
    </xf>
    <xf numFmtId="0" fontId="0" fillId="0" borderId="0" xfId="0" applyAlignment="1" applyProtection="1">
      <alignment horizontal="left" vertical="center"/>
      <protection hidden="1"/>
    </xf>
    <xf numFmtId="0" fontId="0" fillId="0" borderId="0" xfId="0" applyFont="1" applyFill="1" applyBorder="1" applyAlignment="1" applyProtection="1">
      <alignment horizontal="left" vertical="center"/>
      <protection hidden="1"/>
    </xf>
    <xf numFmtId="0" fontId="0" fillId="0" borderId="0" xfId="0" applyFont="1" applyFill="1" applyAlignment="1" applyProtection="1">
      <alignment horizontal="left" vertical="center"/>
      <protection hidden="1"/>
    </xf>
    <xf numFmtId="0" fontId="0" fillId="0" borderId="0" xfId="0" applyFont="1" applyFill="1" applyBorder="1" applyAlignment="1" applyProtection="1">
      <alignment horizontal="left"/>
      <protection hidden="1"/>
    </xf>
    <xf numFmtId="0" fontId="1" fillId="0" borderId="0" xfId="0" applyFont="1" applyFill="1" applyAlignment="1" applyProtection="1">
      <alignment horizontal="left" vertical="center"/>
      <protection hidden="1"/>
    </xf>
    <xf numFmtId="0" fontId="0" fillId="0" borderId="0" xfId="0" applyFont="1" applyFill="1" applyAlignment="1" applyProtection="1">
      <alignment vertical="center"/>
      <protection hidden="1"/>
    </xf>
    <xf numFmtId="0" fontId="0" fillId="0" borderId="0" xfId="0" applyBorder="1" applyAlignment="1" applyProtection="1">
      <alignment vertical="center"/>
      <protection hidden="1"/>
    </xf>
    <xf numFmtId="0" fontId="0" fillId="0" borderId="0" xfId="0" applyBorder="1" applyAlignment="1" applyProtection="1">
      <alignment vertical="center" wrapText="1"/>
      <protection hidden="1"/>
    </xf>
    <xf numFmtId="0" fontId="1" fillId="0" borderId="0" xfId="0" applyFont="1" applyBorder="1" applyAlignment="1" applyProtection="1">
      <alignment horizontal="center" vertical="center" wrapText="1"/>
      <protection hidden="1"/>
    </xf>
    <xf numFmtId="0" fontId="6" fillId="0" borderId="0" xfId="0" applyFont="1" applyProtection="1">
      <protection hidden="1"/>
    </xf>
    <xf numFmtId="0" fontId="0" fillId="0" borderId="0" xfId="0" applyAlignment="1" applyProtection="1">
      <alignment vertical="center" wrapText="1"/>
      <protection hidden="1"/>
    </xf>
    <xf numFmtId="0" fontId="0" fillId="0" borderId="0" xfId="0"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0" fillId="0" borderId="0" xfId="0" applyAlignment="1" applyProtection="1">
      <alignment wrapText="1"/>
      <protection hidden="1"/>
    </xf>
    <xf numFmtId="0" fontId="1" fillId="0" borderId="0" xfId="0" applyFont="1" applyFill="1" applyProtection="1">
      <protection hidden="1"/>
    </xf>
    <xf numFmtId="0" fontId="1" fillId="0" borderId="0" xfId="0" applyFont="1" applyFill="1" applyAlignment="1" applyProtection="1">
      <alignment horizontal="left"/>
      <protection hidden="1"/>
    </xf>
    <xf numFmtId="0" fontId="1" fillId="3" borderId="13" xfId="0"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hidden="1"/>
    </xf>
    <xf numFmtId="0" fontId="1" fillId="3" borderId="23" xfId="0" applyFont="1" applyFill="1" applyBorder="1" applyAlignment="1" applyProtection="1">
      <alignment horizontal="center" vertical="center"/>
      <protection locked="0"/>
    </xf>
    <xf numFmtId="0" fontId="1" fillId="3" borderId="25"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hidden="1"/>
    </xf>
    <xf numFmtId="49" fontId="0" fillId="0" borderId="12" xfId="0" applyNumberFormat="1" applyBorder="1" applyAlignment="1" applyProtection="1">
      <alignment horizontal="right" vertical="center"/>
    </xf>
    <xf numFmtId="0" fontId="0" fillId="0" borderId="39" xfId="0" applyBorder="1" applyAlignment="1" applyProtection="1">
      <alignment horizontal="left" vertical="center"/>
    </xf>
    <xf numFmtId="0" fontId="0" fillId="0" borderId="29" xfId="0" applyBorder="1" applyAlignment="1" applyProtection="1">
      <alignment horizontal="center" vertical="center"/>
    </xf>
    <xf numFmtId="0" fontId="1" fillId="0" borderId="16" xfId="0" applyFont="1" applyFill="1" applyBorder="1" applyAlignment="1" applyProtection="1">
      <alignment horizontal="left" vertical="center"/>
    </xf>
    <xf numFmtId="2" fontId="4" fillId="0" borderId="21" xfId="0" applyNumberFormat="1" applyFont="1" applyFill="1" applyBorder="1" applyAlignment="1" applyProtection="1">
      <alignment horizontal="center" vertical="center"/>
    </xf>
    <xf numFmtId="0" fontId="0" fillId="0" borderId="19" xfId="0" applyBorder="1" applyAlignment="1" applyProtection="1">
      <alignment horizontal="left" vertical="center"/>
    </xf>
    <xf numFmtId="0" fontId="0" fillId="0" borderId="30" xfId="0" applyBorder="1" applyAlignment="1" applyProtection="1">
      <alignment horizontal="center" vertical="center"/>
    </xf>
    <xf numFmtId="0" fontId="1" fillId="0" borderId="12" xfId="0" applyFont="1" applyFill="1" applyBorder="1" applyAlignment="1" applyProtection="1">
      <alignment horizontal="left" vertical="center"/>
    </xf>
    <xf numFmtId="2" fontId="4" fillId="0" borderId="18" xfId="0" applyNumberFormat="1" applyFont="1" applyFill="1" applyBorder="1" applyAlignment="1" applyProtection="1">
      <alignment horizontal="center" vertical="center"/>
    </xf>
    <xf numFmtId="49" fontId="0" fillId="0" borderId="12" xfId="0" applyNumberFormat="1" applyBorder="1" applyAlignment="1" applyProtection="1">
      <alignment horizontal="left" vertical="center"/>
    </xf>
    <xf numFmtId="0" fontId="0" fillId="0" borderId="19" xfId="0" applyBorder="1" applyAlignment="1" applyProtection="1">
      <alignment horizontal="left" vertical="center" wrapText="1"/>
    </xf>
    <xf numFmtId="0" fontId="0" fillId="0" borderId="30" xfId="0" applyBorder="1" applyAlignment="1" applyProtection="1">
      <alignment horizontal="center" vertical="center" wrapText="1"/>
    </xf>
    <xf numFmtId="13" fontId="1" fillId="0" borderId="0" xfId="0" applyNumberFormat="1" applyFont="1" applyFill="1" applyBorder="1" applyAlignment="1" applyProtection="1">
      <alignment horizontal="center" vertical="center"/>
    </xf>
    <xf numFmtId="49" fontId="0" fillId="0" borderId="22" xfId="0" applyNumberFormat="1" applyBorder="1" applyAlignment="1" applyProtection="1">
      <alignment horizontal="left" vertical="center"/>
    </xf>
    <xf numFmtId="0" fontId="0" fillId="0" borderId="41" xfId="0" applyBorder="1" applyAlignment="1" applyProtection="1">
      <alignment horizontal="left" vertical="center" wrapText="1"/>
    </xf>
    <xf numFmtId="0" fontId="0" fillId="0" borderId="31" xfId="0" applyBorder="1" applyAlignment="1" applyProtection="1">
      <alignment horizontal="center" vertical="center" wrapText="1"/>
    </xf>
    <xf numFmtId="0" fontId="1" fillId="0" borderId="22" xfId="0" applyFont="1" applyFill="1" applyBorder="1" applyAlignment="1" applyProtection="1">
      <alignment horizontal="left" vertical="center"/>
    </xf>
    <xf numFmtId="2" fontId="4" fillId="0" borderId="34" xfId="0" applyNumberFormat="1" applyFont="1" applyFill="1" applyBorder="1" applyAlignment="1" applyProtection="1">
      <alignment horizontal="center" vertical="center"/>
    </xf>
    <xf numFmtId="0" fontId="3" fillId="2" borderId="43" xfId="0" applyFont="1" applyFill="1" applyBorder="1" applyAlignment="1" applyProtection="1">
      <alignment horizontal="left" vertical="center"/>
    </xf>
    <xf numFmtId="0" fontId="0" fillId="0" borderId="24" xfId="0" applyBorder="1" applyAlignment="1" applyProtection="1">
      <alignment horizontal="left" vertical="center"/>
    </xf>
    <xf numFmtId="0" fontId="0" fillId="0" borderId="38" xfId="0" applyBorder="1" applyAlignment="1" applyProtection="1">
      <alignment horizontal="left" vertical="center" wrapText="1"/>
    </xf>
    <xf numFmtId="0" fontId="0" fillId="0" borderId="32" xfId="0" applyBorder="1" applyAlignment="1" applyProtection="1">
      <alignment horizontal="center" vertical="center" wrapText="1"/>
    </xf>
    <xf numFmtId="0" fontId="1" fillId="0" borderId="24" xfId="0" applyFont="1" applyFill="1" applyBorder="1" applyAlignment="1" applyProtection="1">
      <alignment horizontal="left" vertical="center"/>
    </xf>
    <xf numFmtId="2" fontId="4" fillId="0" borderId="4" xfId="0" applyNumberFormat="1" applyFont="1" applyFill="1" applyBorder="1" applyAlignment="1" applyProtection="1">
      <alignment horizontal="center" vertical="center"/>
    </xf>
    <xf numFmtId="16" fontId="0" fillId="0" borderId="16" xfId="0" applyNumberFormat="1" applyBorder="1" applyAlignment="1" applyProtection="1">
      <alignment horizontal="left" vertical="center"/>
    </xf>
    <xf numFmtId="0" fontId="0" fillId="0" borderId="39" xfId="0" applyBorder="1" applyAlignment="1" applyProtection="1">
      <alignment horizontal="left" vertical="center" wrapText="1"/>
    </xf>
    <xf numFmtId="0" fontId="0" fillId="0" borderId="29" xfId="0" applyBorder="1" applyAlignment="1" applyProtection="1">
      <alignment horizontal="center" vertical="center" wrapText="1"/>
    </xf>
    <xf numFmtId="0" fontId="0" fillId="0" borderId="22" xfId="0" applyBorder="1" applyAlignment="1" applyProtection="1">
      <alignment vertical="center"/>
    </xf>
    <xf numFmtId="0" fontId="0" fillId="0" borderId="23" xfId="0" applyBorder="1" applyAlignment="1" applyProtection="1">
      <alignment vertical="center" wrapText="1"/>
    </xf>
    <xf numFmtId="16" fontId="0" fillId="0" borderId="22" xfId="0" applyNumberFormat="1" applyBorder="1" applyAlignment="1" applyProtection="1">
      <alignment vertical="center"/>
    </xf>
    <xf numFmtId="0" fontId="0" fillId="0" borderId="22" xfId="0" applyBorder="1" applyAlignment="1" applyProtection="1">
      <alignment horizontal="left" vertical="center"/>
    </xf>
    <xf numFmtId="0" fontId="0" fillId="0" borderId="31" xfId="0" applyFill="1" applyBorder="1" applyAlignment="1" applyProtection="1">
      <alignment horizontal="center" vertical="center" wrapText="1"/>
    </xf>
    <xf numFmtId="0" fontId="0" fillId="0" borderId="16" xfId="0" applyBorder="1" applyAlignment="1" applyProtection="1">
      <alignment horizontal="left" vertical="center"/>
    </xf>
    <xf numFmtId="0" fontId="0" fillId="0" borderId="12" xfId="0" applyBorder="1" applyAlignment="1" applyProtection="1">
      <alignment horizontal="left" vertical="center"/>
    </xf>
    <xf numFmtId="0" fontId="0" fillId="0" borderId="22" xfId="0" applyBorder="1" applyAlignment="1" applyProtection="1">
      <alignment horizontal="left" vertical="center"/>
    </xf>
    <xf numFmtId="0" fontId="0" fillId="0" borderId="31" xfId="0" applyFill="1" applyBorder="1" applyAlignment="1" applyProtection="1">
      <alignment horizontal="center" vertical="center" wrapText="1"/>
    </xf>
    <xf numFmtId="0" fontId="0" fillId="0" borderId="16" xfId="0" applyBorder="1" applyAlignment="1" applyProtection="1">
      <alignment horizontal="left" vertical="center"/>
    </xf>
    <xf numFmtId="2" fontId="1" fillId="0" borderId="18" xfId="0" applyNumberFormat="1" applyFont="1" applyFill="1" applyBorder="1" applyAlignment="1" applyProtection="1">
      <alignment horizontal="center" vertical="center"/>
    </xf>
    <xf numFmtId="0" fontId="0" fillId="0" borderId="22" xfId="0" applyFill="1" applyBorder="1" applyAlignment="1" applyProtection="1">
      <alignment horizontal="left" vertical="center"/>
    </xf>
    <xf numFmtId="0" fontId="0" fillId="0" borderId="41" xfId="0" applyFill="1" applyBorder="1" applyAlignment="1" applyProtection="1">
      <alignment horizontal="left" vertical="center" wrapText="1"/>
    </xf>
    <xf numFmtId="0" fontId="0" fillId="0" borderId="14" xfId="0" applyBorder="1" applyAlignment="1" applyProtection="1">
      <alignment horizontal="left" vertical="center"/>
    </xf>
    <xf numFmtId="0" fontId="0" fillId="0" borderId="20" xfId="0" applyBorder="1" applyAlignment="1" applyProtection="1">
      <alignment horizontal="left" vertical="center" wrapText="1"/>
    </xf>
    <xf numFmtId="0" fontId="0" fillId="0" borderId="26" xfId="0" applyBorder="1" applyAlignment="1" applyProtection="1">
      <alignment horizontal="center" vertical="center" wrapText="1"/>
    </xf>
    <xf numFmtId="0" fontId="1" fillId="0" borderId="14" xfId="0" applyFont="1" applyFill="1" applyBorder="1" applyAlignment="1" applyProtection="1">
      <alignment horizontal="left" vertical="center"/>
    </xf>
    <xf numFmtId="2" fontId="7" fillId="0" borderId="1" xfId="0" applyNumberFormat="1" applyFont="1" applyFill="1" applyBorder="1" applyAlignment="1" applyProtection="1">
      <alignment horizontal="center" vertical="center"/>
    </xf>
    <xf numFmtId="0" fontId="0" fillId="0" borderId="2" xfId="0" applyBorder="1" applyProtection="1"/>
    <xf numFmtId="0" fontId="0" fillId="0" borderId="3" xfId="0" applyBorder="1" applyAlignment="1" applyProtection="1">
      <alignment wrapText="1"/>
    </xf>
    <xf numFmtId="0" fontId="0" fillId="0" borderId="36" xfId="0" applyBorder="1" applyProtection="1"/>
    <xf numFmtId="0" fontId="0" fillId="0" borderId="5" xfId="0" applyBorder="1" applyAlignment="1" applyProtection="1">
      <alignment wrapText="1"/>
    </xf>
    <xf numFmtId="0" fontId="4" fillId="3" borderId="14"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1" fillId="3" borderId="23" xfId="0" applyNumberFormat="1"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xf>
    <xf numFmtId="2" fontId="1" fillId="0" borderId="21" xfId="0" applyNumberFormat="1" applyFont="1" applyFill="1" applyBorder="1" applyAlignment="1" applyProtection="1">
      <alignment horizontal="center" vertical="center"/>
    </xf>
    <xf numFmtId="164" fontId="1" fillId="0" borderId="0" xfId="0" applyNumberFormat="1" applyFont="1" applyFill="1" applyBorder="1" applyAlignment="1" applyProtection="1">
      <alignment horizontal="center" vertical="center"/>
    </xf>
    <xf numFmtId="165" fontId="1" fillId="0" borderId="0" xfId="0" applyNumberFormat="1" applyFont="1" applyFill="1" applyBorder="1" applyAlignment="1" applyProtection="1">
      <alignment horizontal="center" vertical="center"/>
    </xf>
    <xf numFmtId="164" fontId="1" fillId="0" borderId="5" xfId="0" applyNumberFormat="1" applyFont="1" applyFill="1" applyBorder="1" applyAlignment="1" applyProtection="1">
      <alignment horizontal="center" vertical="center"/>
    </xf>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0" fillId="3" borderId="36" xfId="0" applyFont="1" applyFill="1" applyBorder="1" applyAlignment="1" applyProtection="1">
      <alignment vertical="center"/>
      <protection locked="0"/>
    </xf>
    <xf numFmtId="0" fontId="0" fillId="3" borderId="5" xfId="0" applyFont="1" applyFill="1" applyBorder="1" applyAlignment="1" applyProtection="1">
      <alignment vertical="center"/>
      <protection locked="0"/>
    </xf>
    <xf numFmtId="0" fontId="0" fillId="0" borderId="0" xfId="0" applyFont="1" applyFill="1" applyAlignment="1" applyProtection="1">
      <alignment horizontal="center" vertical="center"/>
      <protection hidden="1"/>
    </xf>
    <xf numFmtId="0" fontId="7" fillId="0" borderId="0" xfId="0" applyFont="1" applyBorder="1" applyAlignment="1" applyProtection="1">
      <alignment horizontal="right" vertical="center"/>
    </xf>
    <xf numFmtId="2" fontId="7" fillId="0" borderId="0" xfId="0" applyNumberFormat="1"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0" fillId="0" borderId="0" xfId="0" applyAlignment="1" applyProtection="1">
      <alignment horizontal="center" vertical="center" wrapText="1"/>
      <protection hidden="1"/>
    </xf>
    <xf numFmtId="0" fontId="0" fillId="6" borderId="32" xfId="0" applyFill="1" applyBorder="1" applyAlignment="1" applyProtection="1">
      <alignment horizontal="center" vertical="center" wrapText="1"/>
    </xf>
    <xf numFmtId="0" fontId="0" fillId="6" borderId="23" xfId="0" applyFill="1" applyBorder="1" applyAlignment="1" applyProtection="1">
      <alignment vertical="center" wrapText="1"/>
    </xf>
    <xf numFmtId="0" fontId="0" fillId="6" borderId="0" xfId="0" applyFont="1" applyFill="1" applyAlignment="1" applyProtection="1">
      <alignment horizontal="left" vertical="center"/>
      <protection hidden="1"/>
    </xf>
    <xf numFmtId="0" fontId="0" fillId="6" borderId="0" xfId="0" applyFill="1" applyAlignment="1" applyProtection="1">
      <alignment horizontal="left" vertical="center"/>
      <protection hidden="1"/>
    </xf>
    <xf numFmtId="0" fontId="0" fillId="6" borderId="0" xfId="0" applyFont="1" applyFill="1" applyBorder="1" applyAlignment="1" applyProtection="1">
      <alignment horizontal="left" vertical="center"/>
      <protection hidden="1"/>
    </xf>
    <xf numFmtId="0" fontId="0" fillId="6" borderId="0" xfId="0" applyFill="1" applyAlignment="1" applyProtection="1">
      <alignment vertical="center"/>
      <protection hidden="1"/>
    </xf>
    <xf numFmtId="0" fontId="0" fillId="6" borderId="0" xfId="0" applyFill="1" applyProtection="1">
      <protection hidden="1"/>
    </xf>
    <xf numFmtId="0" fontId="0" fillId="6" borderId="0" xfId="0" applyFill="1" applyBorder="1" applyProtection="1">
      <protection hidden="1"/>
    </xf>
    <xf numFmtId="0" fontId="0" fillId="6" borderId="0" xfId="0" applyFont="1" applyFill="1" applyProtection="1">
      <protection hidden="1"/>
    </xf>
    <xf numFmtId="0" fontId="0" fillId="6" borderId="0" xfId="0" applyFont="1" applyFill="1" applyAlignment="1" applyProtection="1">
      <alignment horizontal="center" vertical="center"/>
      <protection hidden="1"/>
    </xf>
    <xf numFmtId="0" fontId="0" fillId="6" borderId="0" xfId="0" applyFont="1" applyFill="1" applyAlignment="1" applyProtection="1">
      <alignment horizontal="left" vertical="top"/>
      <protection hidden="1"/>
    </xf>
    <xf numFmtId="0" fontId="0" fillId="6" borderId="0" xfId="0" applyFont="1" applyFill="1" applyBorder="1" applyAlignment="1" applyProtection="1">
      <alignment vertical="center"/>
      <protection hidden="1"/>
    </xf>
    <xf numFmtId="0" fontId="1" fillId="6" borderId="0" xfId="0" applyFont="1" applyFill="1" applyBorder="1" applyAlignment="1" applyProtection="1">
      <alignment horizontal="center" vertical="center" wrapText="1"/>
      <protection hidden="1"/>
    </xf>
    <xf numFmtId="0" fontId="6" fillId="6" borderId="0" xfId="0" applyFont="1" applyFill="1" applyProtection="1">
      <protection hidden="1"/>
    </xf>
    <xf numFmtId="0" fontId="0" fillId="6" borderId="0" xfId="0" applyFill="1" applyBorder="1" applyAlignment="1" applyProtection="1">
      <alignment vertical="center" wrapText="1"/>
      <protection hidden="1"/>
    </xf>
    <xf numFmtId="49" fontId="3" fillId="0" borderId="12" xfId="0" applyNumberFormat="1" applyFont="1" applyBorder="1" applyAlignment="1" applyProtection="1">
      <alignment horizontal="left" vertical="center"/>
    </xf>
    <xf numFmtId="49" fontId="3" fillId="0" borderId="16" xfId="0" applyNumberFormat="1" applyFont="1" applyBorder="1" applyAlignment="1" applyProtection="1">
      <alignment horizontal="left" vertical="center"/>
    </xf>
    <xf numFmtId="49" fontId="0" fillId="0" borderId="12" xfId="0" applyNumberFormat="1" applyFont="1" applyBorder="1" applyAlignment="1" applyProtection="1">
      <alignment horizontal="right" vertical="center"/>
    </xf>
    <xf numFmtId="0" fontId="0" fillId="0" borderId="19" xfId="0" applyFont="1" applyBorder="1" applyAlignment="1" applyProtection="1">
      <alignment horizontal="left" vertical="center"/>
    </xf>
    <xf numFmtId="0" fontId="0" fillId="0" borderId="30" xfId="0" applyFont="1" applyBorder="1" applyAlignment="1" applyProtection="1">
      <alignment horizontal="center" vertical="center"/>
    </xf>
    <xf numFmtId="2" fontId="4" fillId="0" borderId="0" xfId="0" applyNumberFormat="1" applyFont="1" applyFill="1" applyBorder="1" applyAlignment="1" applyProtection="1">
      <alignment vertical="center" wrapText="1"/>
    </xf>
    <xf numFmtId="2" fontId="14" fillId="8" borderId="0" xfId="0" applyNumberFormat="1" applyFont="1" applyFill="1" applyBorder="1" applyAlignment="1" applyProtection="1">
      <alignment vertical="center" wrapText="1"/>
    </xf>
    <xf numFmtId="2" fontId="0" fillId="6" borderId="0" xfId="0" applyNumberFormat="1" applyFill="1" applyAlignment="1" applyProtection="1">
      <alignment vertical="center"/>
      <protection hidden="1"/>
    </xf>
    <xf numFmtId="0" fontId="4" fillId="0" borderId="3" xfId="0" applyFont="1" applyFill="1" applyBorder="1" applyAlignment="1" applyProtection="1">
      <alignment horizontal="center" textRotation="90"/>
    </xf>
    <xf numFmtId="0" fontId="4" fillId="0" borderId="5" xfId="0" applyFont="1" applyFill="1" applyBorder="1" applyAlignment="1" applyProtection="1">
      <alignment horizontal="center" textRotation="90"/>
    </xf>
    <xf numFmtId="0" fontId="4" fillId="3" borderId="10"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3" fillId="6" borderId="27"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2" borderId="44"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8" fillId="7" borderId="6" xfId="0" applyFont="1" applyFill="1" applyBorder="1" applyAlignment="1" applyProtection="1">
      <alignment horizontal="center" vertical="center"/>
    </xf>
    <xf numFmtId="0" fontId="8" fillId="7" borderId="7" xfId="0" applyFont="1" applyFill="1" applyBorder="1" applyAlignment="1" applyProtection="1">
      <alignment horizontal="center" vertical="center"/>
    </xf>
    <xf numFmtId="0" fontId="8" fillId="7" borderId="8" xfId="0" applyFont="1" applyFill="1" applyBorder="1" applyAlignment="1" applyProtection="1">
      <alignment horizontal="center" vertical="center"/>
    </xf>
    <xf numFmtId="0" fontId="0" fillId="3" borderId="36" xfId="0" applyFont="1" applyFill="1" applyBorder="1" applyAlignment="1" applyProtection="1">
      <alignment horizontal="left" vertical="center"/>
      <protection locked="0"/>
    </xf>
    <xf numFmtId="0" fontId="0" fillId="3" borderId="37" xfId="0" applyFont="1" applyFill="1" applyBorder="1" applyAlignment="1" applyProtection="1">
      <alignment horizontal="left" vertical="center"/>
      <protection locked="0"/>
    </xf>
    <xf numFmtId="0" fontId="3" fillId="0" borderId="2" xfId="0" applyFont="1" applyBorder="1" applyAlignment="1" applyProtection="1">
      <alignment horizontal="left"/>
    </xf>
    <xf numFmtId="0" fontId="3" fillId="0" borderId="35" xfId="0" applyFont="1" applyBorder="1" applyAlignment="1" applyProtection="1">
      <alignment horizontal="left"/>
    </xf>
    <xf numFmtId="0" fontId="4" fillId="0" borderId="2" xfId="0" applyFont="1" applyFill="1" applyBorder="1" applyAlignment="1" applyProtection="1">
      <alignment horizontal="left"/>
    </xf>
    <xf numFmtId="0" fontId="4" fillId="0" borderId="3" xfId="0" applyFont="1" applyFill="1" applyBorder="1" applyAlignment="1" applyProtection="1">
      <alignment horizontal="left"/>
    </xf>
    <xf numFmtId="0" fontId="4" fillId="0" borderId="35" xfId="0" applyFont="1" applyFill="1" applyBorder="1" applyAlignment="1" applyProtection="1">
      <alignment horizontal="left"/>
    </xf>
    <xf numFmtId="0" fontId="0" fillId="3" borderId="36" xfId="0" applyFont="1" applyFill="1" applyBorder="1" applyAlignment="1" applyProtection="1">
      <alignment vertical="center"/>
      <protection locked="0"/>
    </xf>
    <xf numFmtId="0" fontId="0" fillId="3" borderId="5" xfId="0" applyFont="1" applyFill="1" applyBorder="1" applyAlignment="1" applyProtection="1">
      <alignment vertical="center"/>
      <protection locked="0"/>
    </xf>
    <xf numFmtId="0" fontId="0" fillId="3" borderId="37" xfId="0" applyFont="1" applyFill="1" applyBorder="1" applyAlignment="1" applyProtection="1">
      <alignment vertical="center"/>
      <protection locked="0"/>
    </xf>
    <xf numFmtId="0" fontId="3" fillId="0" borderId="39" xfId="0" applyFont="1" applyBorder="1" applyAlignment="1" applyProtection="1">
      <alignment horizontal="left" vertical="center" wrapText="1"/>
    </xf>
    <xf numFmtId="0" fontId="3" fillId="0" borderId="40" xfId="0" applyFont="1" applyBorder="1" applyAlignment="1" applyProtection="1">
      <alignment horizontal="left" vertical="center" wrapText="1"/>
    </xf>
    <xf numFmtId="0" fontId="3" fillId="0" borderId="21" xfId="0" applyFont="1" applyBorder="1" applyAlignment="1" applyProtection="1">
      <alignment horizontal="left" vertical="center" wrapText="1"/>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0" fillId="0" borderId="38"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41" xfId="0" applyBorder="1" applyAlignment="1" applyProtection="1">
      <alignment horizontal="left" vertical="center" wrapText="1"/>
    </xf>
    <xf numFmtId="0" fontId="0" fillId="0" borderId="42" xfId="0" applyBorder="1" applyAlignment="1" applyProtection="1">
      <alignment horizontal="left" vertical="center" wrapText="1"/>
    </xf>
    <xf numFmtId="0" fontId="0" fillId="0" borderId="34" xfId="0" applyBorder="1" applyAlignment="1" applyProtection="1">
      <alignment horizontal="left" vertical="center" wrapText="1"/>
    </xf>
    <xf numFmtId="0" fontId="0" fillId="6" borderId="0" xfId="0" applyFill="1" applyAlignment="1" applyProtection="1">
      <alignment horizontal="left" vertical="top" wrapText="1"/>
      <protection hidden="1"/>
    </xf>
    <xf numFmtId="0" fontId="0" fillId="0" borderId="22" xfId="0" applyBorder="1" applyAlignment="1" applyProtection="1">
      <alignment horizontal="left" vertical="center"/>
    </xf>
    <xf numFmtId="0" fontId="0" fillId="0" borderId="16" xfId="0" applyBorder="1" applyAlignment="1" applyProtection="1">
      <alignment horizontal="left" vertical="center"/>
    </xf>
    <xf numFmtId="0" fontId="0" fillId="0" borderId="31" xfId="0" applyFill="1" applyBorder="1" applyAlignment="1" applyProtection="1">
      <alignment horizontal="center" vertical="center" wrapText="1"/>
    </xf>
    <xf numFmtId="0" fontId="0" fillId="0" borderId="29" xfId="0" applyFill="1" applyBorder="1" applyAlignment="1" applyProtection="1">
      <alignment horizontal="center" vertical="center" wrapText="1"/>
    </xf>
    <xf numFmtId="0" fontId="0" fillId="0" borderId="23" xfId="0" applyBorder="1" applyAlignment="1" applyProtection="1">
      <alignment horizontal="left" vertical="center" wrapText="1"/>
    </xf>
    <xf numFmtId="0" fontId="0" fillId="0" borderId="17" xfId="0" applyBorder="1" applyAlignment="1" applyProtection="1">
      <alignment horizontal="left" vertical="center" wrapText="1"/>
    </xf>
    <xf numFmtId="2" fontId="1" fillId="0" borderId="27" xfId="0" applyNumberFormat="1" applyFont="1" applyFill="1" applyBorder="1" applyAlignment="1" applyProtection="1">
      <alignment horizontal="center" vertical="center"/>
    </xf>
    <xf numFmtId="2" fontId="1" fillId="0" borderId="29" xfId="0" applyNumberFormat="1" applyFont="1" applyFill="1" applyBorder="1" applyAlignment="1" applyProtection="1">
      <alignment horizontal="center" vertical="center"/>
    </xf>
    <xf numFmtId="0" fontId="7" fillId="0" borderId="6" xfId="0" applyFont="1" applyBorder="1" applyAlignment="1" applyProtection="1">
      <alignment horizontal="right" vertical="center"/>
    </xf>
    <xf numFmtId="0" fontId="7" fillId="0" borderId="7" xfId="0" applyFont="1" applyBorder="1" applyAlignment="1" applyProtection="1">
      <alignment horizontal="right" vertical="center"/>
    </xf>
    <xf numFmtId="0" fontId="7" fillId="0" borderId="8" xfId="0" applyFont="1" applyBorder="1" applyAlignment="1" applyProtection="1">
      <alignment horizontal="right" vertical="center"/>
    </xf>
    <xf numFmtId="0" fontId="7" fillId="0" borderId="6" xfId="0" applyFont="1" applyBorder="1" applyAlignment="1" applyProtection="1">
      <alignment horizontal="right" vertical="center" wrapText="1"/>
    </xf>
    <xf numFmtId="0" fontId="7" fillId="0" borderId="2" xfId="0" applyFont="1" applyBorder="1" applyAlignment="1" applyProtection="1">
      <alignment horizontal="center" vertical="center" wrapText="1"/>
    </xf>
    <xf numFmtId="0" fontId="7" fillId="0" borderId="35"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37" xfId="0" applyFont="1" applyBorder="1" applyAlignment="1" applyProtection="1">
      <alignment horizontal="center" vertical="center"/>
    </xf>
    <xf numFmtId="0" fontId="0" fillId="0" borderId="0" xfId="0" applyAlignment="1" applyProtection="1">
      <alignment horizontal="left" vertical="top" wrapText="1"/>
      <protection hidden="1"/>
    </xf>
    <xf numFmtId="0" fontId="0" fillId="0" borderId="0" xfId="0" applyAlignment="1" applyProtection="1">
      <alignment horizontal="left" vertical="center" wrapText="1"/>
      <protection hidden="1"/>
    </xf>
    <xf numFmtId="2" fontId="4" fillId="0" borderId="0" xfId="0" applyNumberFormat="1" applyFont="1" applyFill="1" applyBorder="1" applyAlignment="1" applyProtection="1">
      <alignment horizontal="left" vertical="center" wrapText="1"/>
    </xf>
    <xf numFmtId="0" fontId="0" fillId="0" borderId="0" xfId="0" applyFont="1" applyFill="1" applyAlignment="1" applyProtection="1">
      <alignment horizontal="center" vertical="center"/>
      <protection hidden="1"/>
    </xf>
    <xf numFmtId="2" fontId="14" fillId="8" borderId="0" xfId="0" applyNumberFormat="1" applyFont="1" applyFill="1" applyBorder="1" applyAlignment="1" applyProtection="1">
      <alignment horizontal="left" vertical="top" wrapText="1"/>
    </xf>
    <xf numFmtId="0" fontId="8" fillId="4" borderId="6"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0" fillId="3" borderId="5" xfId="0" applyFont="1" applyFill="1" applyBorder="1" applyAlignment="1" applyProtection="1">
      <alignment horizontal="left" vertical="center"/>
      <protection locked="0"/>
    </xf>
    <xf numFmtId="0" fontId="8" fillId="5" borderId="6" xfId="0" applyFont="1" applyFill="1" applyBorder="1" applyAlignment="1" applyProtection="1">
      <alignment horizontal="center" vertical="center"/>
    </xf>
    <xf numFmtId="0" fontId="8" fillId="5" borderId="7" xfId="0" applyFont="1" applyFill="1" applyBorder="1" applyAlignment="1" applyProtection="1">
      <alignment horizontal="center" vertical="center"/>
    </xf>
    <xf numFmtId="0" fontId="8" fillId="5" borderId="8" xfId="0" applyFont="1" applyFill="1" applyBorder="1" applyAlignment="1" applyProtection="1">
      <alignment horizontal="center" vertical="center"/>
    </xf>
    <xf numFmtId="0" fontId="11" fillId="6" borderId="6" xfId="0"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8" xfId="0" applyFont="1" applyFill="1" applyBorder="1" applyAlignment="1" applyProtection="1">
      <alignment horizontal="center" vertical="center"/>
    </xf>
  </cellXfs>
  <cellStyles count="1">
    <cellStyle name="Standard" xfId="0" builtinId="0"/>
  </cellStyles>
  <dxfs count="171">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ont>
        <b/>
        <i val="0"/>
        <color theme="0"/>
      </font>
      <fill>
        <patternFill>
          <bgColor rgb="FFFF0000"/>
        </patternFill>
      </fill>
    </dxf>
    <dxf>
      <fill>
        <patternFill patternType="none">
          <bgColor auto="1"/>
        </patternFill>
      </fill>
    </dxf>
    <dxf>
      <fill>
        <patternFill patternType="none">
          <bgColor auto="1"/>
        </patternFill>
      </fill>
    </dxf>
    <dxf>
      <font>
        <b/>
        <i val="0"/>
        <color theme="0"/>
      </font>
      <fill>
        <patternFill>
          <bgColor rgb="FFFF0000"/>
        </patternFill>
      </fill>
    </dxf>
    <dxf>
      <font>
        <b/>
        <i val="0"/>
        <color rgb="FFFF0000"/>
      </font>
      <fill>
        <patternFill patternType="solid">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ont>
        <b/>
        <i val="0"/>
      </font>
      <fill>
        <patternFill>
          <bgColor rgb="FF92D050"/>
        </patternFill>
      </fill>
    </dxf>
    <dxf>
      <fill>
        <patternFill patternType="none">
          <bgColor auto="1"/>
        </patternFill>
      </fill>
    </dxf>
    <dxf>
      <fill>
        <patternFill patternType="none">
          <bgColor auto="1"/>
        </patternFill>
      </fill>
    </dxf>
    <dxf>
      <font>
        <b/>
        <i val="0"/>
        <color auto="1"/>
      </font>
      <fill>
        <patternFill>
          <bgColor rgb="FF92D050"/>
        </patternFill>
      </fill>
    </dxf>
    <dxf>
      <fill>
        <patternFill patternType="none">
          <bgColor auto="1"/>
        </patternFill>
      </fill>
    </dxf>
    <dxf>
      <font>
        <b/>
        <i val="0"/>
      </font>
      <fill>
        <patternFill>
          <bgColor rgb="FF92D050"/>
        </patternFill>
      </fill>
    </dxf>
    <dxf>
      <font>
        <b/>
        <i val="0"/>
      </font>
      <fill>
        <patternFill>
          <bgColor rgb="FF92D050"/>
        </patternFill>
      </fill>
    </dxf>
    <dxf>
      <fill>
        <patternFill patternType="none">
          <bgColor auto="1"/>
        </patternFill>
      </fill>
    </dxf>
    <dxf>
      <fill>
        <patternFill patternType="none">
          <bgColor auto="1"/>
        </patternFill>
      </fill>
    </dxf>
    <dxf>
      <font>
        <b/>
        <i val="0"/>
      </font>
      <fill>
        <patternFill>
          <bgColor rgb="FF92D050"/>
        </patternFill>
      </fill>
    </dxf>
    <dxf>
      <font>
        <b/>
        <i val="0"/>
      </font>
      <fill>
        <patternFill>
          <bgColor rgb="FF92D050"/>
        </patternFill>
      </fill>
    </dxf>
    <dxf>
      <fill>
        <patternFill patternType="none">
          <bgColor auto="1"/>
        </patternFill>
      </fill>
    </dxf>
    <dxf>
      <font>
        <b/>
        <i val="0"/>
        <color auto="1"/>
      </font>
      <fill>
        <patternFill>
          <bgColor rgb="FF92D050"/>
        </patternFill>
      </fill>
    </dxf>
    <dxf>
      <font>
        <b/>
        <i val="0"/>
        <color theme="0"/>
      </font>
      <fill>
        <patternFill>
          <bgColor rgb="FFFF0000"/>
        </patternFill>
      </fill>
    </dxf>
    <dxf>
      <font>
        <b/>
        <i val="0"/>
        <color auto="1"/>
      </font>
      <fill>
        <patternFill patternType="none">
          <bgColor auto="1"/>
        </patternFill>
      </fill>
    </dxf>
    <dxf>
      <font>
        <b/>
        <i val="0"/>
        <color auto="1"/>
      </font>
      <fill>
        <patternFill>
          <bgColor rgb="FF92D050"/>
        </patternFill>
      </fill>
    </dxf>
    <dxf>
      <font>
        <b/>
        <i val="0"/>
        <color theme="0"/>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
      <font>
        <b/>
        <i val="0"/>
        <color theme="0"/>
      </font>
      <fill>
        <patternFill>
          <bgColor rgb="FFFF0000"/>
        </patternFill>
      </fill>
    </dxf>
    <dxf>
      <fill>
        <patternFill patternType="none">
          <bgColor auto="1"/>
        </patternFill>
      </fill>
    </dxf>
    <dxf>
      <font>
        <b/>
        <i val="0"/>
        <color auto="1"/>
      </font>
      <fill>
        <patternFill>
          <bgColor rgb="FF92D050"/>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ont>
        <b/>
        <i val="0"/>
        <color theme="0"/>
      </font>
      <fill>
        <patternFill>
          <bgColor rgb="FFFF0000"/>
        </patternFill>
      </fill>
    </dxf>
    <dxf>
      <fill>
        <patternFill patternType="none">
          <bgColor auto="1"/>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ont>
        <b/>
        <i val="0"/>
        <color rgb="FFFF0000"/>
      </font>
      <fill>
        <patternFill patternType="solid">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color auto="1"/>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ont>
        <b/>
        <i val="0"/>
      </font>
      <fill>
        <patternFill>
          <bgColor rgb="FF92D050"/>
        </patternFill>
      </fill>
    </dxf>
    <dxf>
      <fill>
        <patternFill patternType="none">
          <bgColor auto="1"/>
        </patternFill>
      </fill>
    </dxf>
    <dxf>
      <font>
        <b/>
        <i val="0"/>
        <color auto="1"/>
      </font>
      <fill>
        <patternFill>
          <bgColor rgb="FF92D050"/>
        </patternFill>
      </fill>
    </dxf>
    <dxf>
      <font>
        <b/>
        <i val="0"/>
        <color theme="0"/>
      </font>
      <fill>
        <patternFill>
          <bgColor rgb="FFFF0000"/>
        </patternFill>
      </fill>
    </dxf>
    <dxf>
      <font>
        <b/>
        <i val="0"/>
        <color auto="1"/>
      </font>
      <fill>
        <patternFill patternType="none">
          <bgColor auto="1"/>
        </patternFill>
      </fill>
    </dxf>
    <dxf>
      <font>
        <b/>
        <i val="0"/>
        <color auto="1"/>
      </font>
      <fill>
        <patternFill>
          <bgColor rgb="FF92D050"/>
        </patternFill>
      </fill>
    </dxf>
    <dxf>
      <font>
        <b/>
        <i val="0"/>
        <color theme="0"/>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
      <font>
        <b/>
        <i val="0"/>
        <color theme="0"/>
      </font>
      <fill>
        <patternFill>
          <bgColor rgb="FFFF0000"/>
        </patternFill>
      </fill>
    </dxf>
    <dxf>
      <fill>
        <patternFill patternType="none">
          <bgColor auto="1"/>
        </patternFill>
      </fill>
    </dxf>
    <dxf>
      <font>
        <b/>
        <i val="0"/>
        <color auto="1"/>
      </font>
      <fill>
        <patternFill>
          <bgColor rgb="FF92D050"/>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ont>
        <b/>
        <i val="0"/>
        <color rgb="FFFF0000"/>
      </font>
      <fill>
        <patternFill patternType="solid">
          <bgColor rgb="FF92D050"/>
        </patternFill>
      </fill>
    </dxf>
    <dxf>
      <font>
        <b/>
        <i val="0"/>
      </font>
      <fill>
        <patternFill>
          <bgColor rgb="FF92D050"/>
        </patternFill>
      </fill>
    </dxf>
    <dxf>
      <fill>
        <patternFill patternType="none">
          <bgColor auto="1"/>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color auto="1"/>
      </font>
      <fill>
        <patternFill>
          <bgColor rgb="FF92D050"/>
        </patternFill>
      </fill>
    </dxf>
    <dxf>
      <fill>
        <patternFill patternType="none">
          <bgColor auto="1"/>
        </patternFill>
      </fill>
    </dxf>
    <dxf>
      <font>
        <b/>
        <i val="0"/>
      </font>
      <fill>
        <patternFill>
          <bgColor rgb="FF92D050"/>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color auto="1"/>
      </font>
      <fill>
        <patternFill>
          <bgColor rgb="FF92D050"/>
        </patternFill>
      </fill>
    </dxf>
    <dxf>
      <font>
        <b/>
        <i val="0"/>
        <color theme="0"/>
      </font>
      <fill>
        <patternFill>
          <bgColor rgb="FFFF0000"/>
        </patternFill>
      </fill>
    </dxf>
    <dxf>
      <font>
        <b/>
        <i val="0"/>
        <color theme="0"/>
      </font>
      <fill>
        <patternFill>
          <bgColor rgb="FFFF0000"/>
        </patternFill>
      </fill>
    </dxf>
    <dxf>
      <font>
        <b/>
        <i val="0"/>
        <color auto="1"/>
      </font>
      <fill>
        <patternFill>
          <bgColor rgb="FF92D050"/>
        </patternFill>
      </fill>
    </dxf>
    <dxf>
      <font>
        <b/>
        <i val="0"/>
        <color auto="1"/>
      </font>
      <fill>
        <patternFill patternType="none">
          <bgColor auto="1"/>
        </patternFill>
      </fill>
    </dxf>
    <dxf>
      <font>
        <color theme="0"/>
      </font>
      <fill>
        <patternFill>
          <bgColor rgb="FFFF0000"/>
        </patternFill>
      </fill>
    </dxf>
    <dxf>
      <font>
        <color auto="1"/>
      </font>
      <fill>
        <patternFill>
          <bgColor rgb="FF92D050"/>
        </patternFill>
      </fill>
    </dxf>
    <dxf>
      <font>
        <color auto="1"/>
      </font>
      <fill>
        <patternFill patternType="none">
          <bgColor auto="1"/>
        </patternFill>
      </fill>
    </dxf>
    <dxf>
      <font>
        <b/>
        <i val="0"/>
        <color theme="0"/>
      </font>
      <fill>
        <patternFill>
          <bgColor rgb="FFFF0000"/>
        </patternFill>
      </fill>
    </dxf>
    <dxf>
      <font>
        <b/>
        <i val="0"/>
        <color auto="1"/>
      </font>
      <fill>
        <patternFill>
          <bgColor rgb="FF92D050"/>
        </patternFill>
      </fill>
    </dxf>
    <dxf>
      <fill>
        <patternFill patternType="none">
          <bgColor auto="1"/>
        </patternFill>
      </fill>
    </dxf>
    <dxf>
      <fill>
        <patternFill patternType="none">
          <bgColor auto="1"/>
        </patternFill>
      </fill>
    </dxf>
    <dxf>
      <font>
        <b/>
        <i val="0"/>
        <color theme="0"/>
      </font>
      <fill>
        <patternFill>
          <bgColor rgb="FFFF0000"/>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ont>
        <b/>
        <i val="0"/>
        <color theme="0"/>
      </font>
      <fill>
        <patternFill>
          <bgColor rgb="FFFF0000"/>
        </patternFill>
      </fill>
    </dxf>
    <dxf>
      <fill>
        <patternFill patternType="none">
          <bgColor auto="1"/>
        </patternFill>
      </fill>
    </dxf>
    <dxf>
      <fill>
        <patternFill patternType="none">
          <bgColor auto="1"/>
        </patternFill>
      </fill>
    </dxf>
    <dxf>
      <font>
        <b/>
        <i val="0"/>
        <color theme="0"/>
      </font>
      <fill>
        <patternFill>
          <bgColor rgb="FFFF0000"/>
        </patternFill>
      </fill>
    </dxf>
    <dxf>
      <font>
        <b/>
        <i val="0"/>
        <color rgb="FFFF0000"/>
      </font>
      <fill>
        <patternFill patternType="solid">
          <bgColor rgb="FF92D050"/>
        </patternFill>
      </fill>
    </dxf>
    <dxf>
      <fill>
        <patternFill patternType="none">
          <bgColor auto="1"/>
        </patternFill>
      </fill>
    </dxf>
    <dxf>
      <font>
        <b/>
        <i val="0"/>
      </font>
      <fill>
        <patternFill>
          <bgColor rgb="FF92D050"/>
        </patternFill>
      </fill>
    </dxf>
    <dxf>
      <font>
        <b/>
        <i val="0"/>
      </font>
      <fill>
        <patternFill>
          <bgColor rgb="FF92D050"/>
        </patternFill>
      </fill>
    </dxf>
    <dxf>
      <fill>
        <patternFill patternType="none">
          <bgColor auto="1"/>
        </patternFill>
      </fill>
    </dxf>
    <dxf>
      <fill>
        <patternFill patternType="none">
          <bgColor auto="1"/>
        </patternFill>
      </fill>
    </dxf>
    <dxf>
      <font>
        <b/>
        <i val="0"/>
      </font>
      <fill>
        <patternFill>
          <bgColor rgb="FF92D050"/>
        </patternFill>
      </fill>
    </dxf>
    <dxf>
      <font>
        <b/>
        <i val="0"/>
      </font>
      <fill>
        <patternFill>
          <bgColor rgb="FF92D050"/>
        </patternFill>
      </fill>
    </dxf>
    <dxf>
      <fill>
        <patternFill patternType="none">
          <bgColor auto="1"/>
        </patternFill>
      </fill>
    </dxf>
    <dxf>
      <fill>
        <patternFill patternType="none">
          <bgColor auto="1"/>
        </patternFill>
      </fill>
    </dxf>
    <dxf>
      <font>
        <b/>
        <i val="0"/>
      </font>
      <fill>
        <patternFill>
          <bgColor rgb="FF92D050"/>
        </patternFill>
      </fill>
    </dxf>
    <dxf>
      <fill>
        <patternFill patternType="none">
          <bgColor auto="1"/>
        </patternFill>
      </fill>
    </dxf>
    <dxf>
      <font>
        <b/>
        <i val="0"/>
        <color auto="1"/>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ill>
        <patternFill patternType="none">
          <bgColor auto="1"/>
        </patternFill>
      </fill>
    </dxf>
    <dxf>
      <font>
        <b/>
        <i val="0"/>
      </font>
      <fill>
        <patternFill>
          <bgColor rgb="FF92D050"/>
        </patternFill>
      </fill>
    </dxf>
    <dxf>
      <font>
        <b/>
        <i val="0"/>
      </font>
      <fill>
        <patternFill>
          <bgColor rgb="FF92D050"/>
        </patternFill>
      </fill>
    </dxf>
    <dxf>
      <fill>
        <patternFill patternType="none">
          <bgColor auto="1"/>
        </patternFill>
      </fill>
    </dxf>
    <dxf>
      <font>
        <b/>
        <i val="0"/>
        <color auto="1"/>
      </font>
      <fill>
        <patternFill>
          <bgColor rgb="FF92D050"/>
        </patternFill>
      </fill>
    </dxf>
    <dxf>
      <font>
        <b/>
        <i val="0"/>
        <color theme="0"/>
      </font>
      <fill>
        <patternFill>
          <bgColor rgb="FFFF0000"/>
        </patternFill>
      </fill>
    </dxf>
    <dxf>
      <font>
        <b/>
        <i val="0"/>
        <color auto="1"/>
      </font>
      <fill>
        <patternFill patternType="none">
          <bgColor auto="1"/>
        </patternFill>
      </fill>
    </dxf>
    <dxf>
      <font>
        <b/>
        <i val="0"/>
        <color auto="1"/>
      </font>
      <fill>
        <patternFill>
          <bgColor rgb="FF92D050"/>
        </patternFill>
      </fill>
    </dxf>
    <dxf>
      <font>
        <b/>
        <i val="0"/>
        <color theme="0"/>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
      <font>
        <b/>
        <i val="0"/>
        <color theme="0"/>
      </font>
      <fill>
        <patternFill>
          <bgColor rgb="FFFF0000"/>
        </patternFill>
      </fill>
    </dxf>
    <dxf>
      <fill>
        <patternFill patternType="none">
          <bgColor auto="1"/>
        </patternFill>
      </fill>
    </dxf>
    <dxf>
      <font>
        <b/>
        <i val="0"/>
        <color auto="1"/>
      </font>
      <fill>
        <patternFill>
          <bgColor rgb="FF92D05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barChart>
        <c:barDir val="col"/>
        <c:grouping val="clustered"/>
        <c:varyColors val="0"/>
        <c:dLbls>
          <c:showLegendKey val="0"/>
          <c:showVal val="0"/>
          <c:showCatName val="0"/>
          <c:showSerName val="0"/>
          <c:showPercent val="0"/>
          <c:showBubbleSize val="0"/>
        </c:dLbls>
        <c:gapWidth val="150"/>
        <c:axId val="115528064"/>
        <c:axId val="115529600"/>
      </c:barChart>
      <c:catAx>
        <c:axId val="115528064"/>
        <c:scaling>
          <c:orientation val="minMax"/>
        </c:scaling>
        <c:delete val="0"/>
        <c:axPos val="b"/>
        <c:majorTickMark val="out"/>
        <c:minorTickMark val="none"/>
        <c:tickLblPos val="nextTo"/>
        <c:crossAx val="115529600"/>
        <c:crosses val="autoZero"/>
        <c:auto val="1"/>
        <c:lblAlgn val="ctr"/>
        <c:lblOffset val="100"/>
        <c:noMultiLvlLbl val="0"/>
      </c:catAx>
      <c:valAx>
        <c:axId val="115529600"/>
        <c:scaling>
          <c:orientation val="minMax"/>
        </c:scaling>
        <c:delete val="0"/>
        <c:axPos val="l"/>
        <c:majorGridlines/>
        <c:majorTickMark val="out"/>
        <c:minorTickMark val="none"/>
        <c:tickLblPos val="nextTo"/>
        <c:crossAx val="115528064"/>
        <c:crosses val="autoZero"/>
        <c:crossBetween val="between"/>
      </c:valAx>
    </c:plotArea>
    <c:legend>
      <c:legendPos val="r"/>
      <c:overlay val="0"/>
    </c:legend>
    <c:plotVisOnly val="1"/>
    <c:dispBlanksAs val="gap"/>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tabColor rgb="FFFFFF00"/>
  </sheetPr>
  <sheetViews>
    <sheetView tabSelected="1" zoomScale="130" workbookViewId="0"/>
  </sheetViews>
  <sheetProtection algorithmName="SHA-512" hashValue="eiF8RayreNCjrCxaqgK+tTKhLZfDoJZgOHPD8rbEihREqDpx2nS4OwXdEndQnGeTVlIc+arneWUvGpKuQ8LpAg==" saltValue="0CA/dqpzaeccR5Zvbz5Siw==" spinCount="100000" content="1" objects="1"/>
  <pageMargins left="0.7" right="0.7" top="0.78740157499999996" bottom="0.78740157499999996"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283212" cy="5978769"/>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3" name="chart">
          <a:extLst xmlns:a="http://schemas.openxmlformats.org/drawingml/2006/main">
            <a:ext uri="{FF2B5EF4-FFF2-40B4-BE49-F238E27FC236}">
              <a16:creationId xmlns:a16="http://schemas.microsoft.com/office/drawing/2014/main" id="{3F75F064-FDE0-53C6-958A-3BCC1F7137E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12647620" cy="9828572"/>
        </a:xfrm>
        <a:prstGeom xmlns:a="http://schemas.openxmlformats.org/drawingml/2006/main" prst="rect">
          <a:avLst/>
        </a:prstGeom>
        <a:ln xmlns:a="http://schemas.openxmlformats.org/drawingml/2006/main">
          <a:solidFill>
            <a:schemeClr val="bg1"/>
          </a:solidFill>
        </a:ln>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5"/>
    <pageSetUpPr fitToPage="1"/>
  </sheetPr>
  <dimension ref="A1:AB95"/>
  <sheetViews>
    <sheetView showGridLines="0" zoomScale="80" zoomScaleNormal="80" zoomScalePageLayoutView="55" workbookViewId="0">
      <pane ySplit="5" topLeftCell="A6" activePane="bottomLeft" state="frozen"/>
      <selection pane="bottomLeft" activeCell="F8" sqref="F8"/>
    </sheetView>
  </sheetViews>
  <sheetFormatPr baseColWidth="10" defaultColWidth="11" defaultRowHeight="14.25" x14ac:dyDescent="0.2"/>
  <cols>
    <col min="1" max="1" width="7.625" style="3" customWidth="1"/>
    <col min="2" max="2" width="47.875" style="26" bestFit="1" customWidth="1"/>
    <col min="3" max="3" width="35.125" style="24" customWidth="1"/>
    <col min="4" max="4" width="9.125" style="27" hidden="1" customWidth="1"/>
    <col min="5" max="5" width="15.625" style="28" customWidth="1"/>
    <col min="6" max="6" width="11.625" style="25" customWidth="1"/>
    <col min="7" max="7" width="19.625" style="27" customWidth="1"/>
    <col min="8" max="8" width="11.5" style="27" customWidth="1"/>
    <col min="9" max="9" width="54.625" style="3" customWidth="1"/>
    <col min="10" max="17" width="11.5" style="3" customWidth="1"/>
    <col min="18" max="16384" width="11" style="3"/>
  </cols>
  <sheetData>
    <row r="1" spans="1:19" ht="79.5" customHeight="1" thickBot="1" x14ac:dyDescent="0.25">
      <c r="A1" s="136" t="s">
        <v>103</v>
      </c>
      <c r="B1" s="137"/>
      <c r="C1" s="137"/>
      <c r="D1" s="137"/>
      <c r="E1" s="137"/>
      <c r="F1" s="137"/>
      <c r="G1" s="138"/>
    </row>
    <row r="2" spans="1:19" ht="15" x14ac:dyDescent="0.25">
      <c r="A2" s="141" t="s">
        <v>100</v>
      </c>
      <c r="B2" s="142"/>
      <c r="C2" s="93" t="s">
        <v>101</v>
      </c>
      <c r="D2" s="94"/>
      <c r="E2" s="143" t="s">
        <v>102</v>
      </c>
      <c r="F2" s="144"/>
      <c r="G2" s="145"/>
    </row>
    <row r="3" spans="1:19" ht="39.950000000000003" customHeight="1" thickBot="1" x14ac:dyDescent="0.25">
      <c r="A3" s="139"/>
      <c r="B3" s="140"/>
      <c r="C3" s="95"/>
      <c r="D3" s="96"/>
      <c r="E3" s="146"/>
      <c r="F3" s="147"/>
      <c r="G3" s="148"/>
      <c r="I3" s="108"/>
      <c r="J3" s="108"/>
      <c r="K3" s="108"/>
      <c r="L3" s="108"/>
      <c r="M3" s="108"/>
      <c r="N3" s="108"/>
      <c r="O3" s="108"/>
      <c r="P3" s="108"/>
      <c r="Q3" s="108"/>
      <c r="R3" s="108"/>
      <c r="S3" s="108"/>
    </row>
    <row r="4" spans="1:19" ht="15" x14ac:dyDescent="0.2">
      <c r="A4" s="81"/>
      <c r="B4" s="82"/>
      <c r="C4" s="131" t="s">
        <v>250</v>
      </c>
      <c r="D4" s="125"/>
      <c r="E4" s="127" t="s">
        <v>64</v>
      </c>
      <c r="F4" s="128"/>
      <c r="G4" s="129" t="s">
        <v>65</v>
      </c>
      <c r="I4" s="108"/>
      <c r="J4" s="108"/>
      <c r="K4" s="108"/>
      <c r="L4" s="108"/>
      <c r="M4" s="108"/>
      <c r="N4" s="108"/>
      <c r="O4" s="108"/>
      <c r="P4" s="108"/>
      <c r="Q4" s="108"/>
      <c r="R4" s="108"/>
      <c r="S4" s="108"/>
    </row>
    <row r="5" spans="1:19" ht="19.5" customHeight="1" thickBot="1" x14ac:dyDescent="0.25">
      <c r="A5" s="83"/>
      <c r="B5" s="84"/>
      <c r="C5" s="132"/>
      <c r="D5" s="126"/>
      <c r="E5" s="85" t="s">
        <v>62</v>
      </c>
      <c r="F5" s="86" t="s">
        <v>60</v>
      </c>
      <c r="G5" s="130"/>
      <c r="I5" s="108"/>
      <c r="J5" s="108"/>
      <c r="K5" s="108"/>
      <c r="L5" s="108"/>
      <c r="M5" s="108"/>
      <c r="N5" s="108"/>
      <c r="O5" s="108"/>
      <c r="P5" s="108"/>
      <c r="Q5" s="108"/>
      <c r="R5" s="108"/>
      <c r="S5" s="108"/>
    </row>
    <row r="6" spans="1:19" ht="35.1" customHeight="1" thickBot="1" x14ac:dyDescent="0.25">
      <c r="A6" s="54" t="s">
        <v>1</v>
      </c>
      <c r="B6" s="133" t="s">
        <v>7</v>
      </c>
      <c r="C6" s="134"/>
      <c r="D6" s="134"/>
      <c r="E6" s="134"/>
      <c r="F6" s="134"/>
      <c r="G6" s="135"/>
      <c r="H6" s="1"/>
      <c r="I6" s="109"/>
      <c r="J6" s="108"/>
      <c r="K6" s="108"/>
      <c r="L6" s="108"/>
      <c r="M6" s="108"/>
      <c r="N6" s="108"/>
      <c r="O6" s="108"/>
      <c r="P6" s="108"/>
      <c r="Q6" s="108"/>
      <c r="R6" s="108"/>
      <c r="S6" s="108"/>
    </row>
    <row r="7" spans="1:19" ht="20.100000000000001" customHeight="1" x14ac:dyDescent="0.2">
      <c r="A7" s="118" t="s">
        <v>56</v>
      </c>
      <c r="B7" s="149" t="s">
        <v>260</v>
      </c>
      <c r="C7" s="150"/>
      <c r="D7" s="150"/>
      <c r="E7" s="150"/>
      <c r="F7" s="150"/>
      <c r="G7" s="151"/>
      <c r="H7" s="1"/>
      <c r="I7" s="109"/>
      <c r="J7" s="108"/>
      <c r="K7" s="108"/>
      <c r="L7" s="108"/>
      <c r="M7" s="108"/>
      <c r="N7" s="108"/>
      <c r="O7" s="108"/>
      <c r="P7" s="108"/>
      <c r="Q7" s="108"/>
      <c r="R7" s="108"/>
      <c r="S7" s="108"/>
    </row>
    <row r="8" spans="1:19" s="6" customFormat="1" ht="20.100000000000001" customHeight="1" x14ac:dyDescent="0.2">
      <c r="A8" s="36" t="s">
        <v>104</v>
      </c>
      <c r="B8" s="37" t="s">
        <v>105</v>
      </c>
      <c r="C8" s="38" t="s">
        <v>129</v>
      </c>
      <c r="D8" s="90">
        <v>0.6</v>
      </c>
      <c r="E8" s="39" t="s">
        <v>82</v>
      </c>
      <c r="F8" s="31"/>
      <c r="G8" s="40" t="str">
        <f>IF(F8="","",IF(SUM($F$8:$F$11)&gt;6,"",F8*D8))</f>
        <v/>
      </c>
      <c r="H8" s="5"/>
      <c r="I8" s="180" t="str">
        <f>IF(SUM(F8:F11)&gt;6,"ACHTUNG:" &amp; CHAR(10) &amp; "Es wurden mehr als 6 WE eingegeben!" &amp; CHAR(10) &amp; "Eingabe bei Pkt. 1.2","")</f>
        <v/>
      </c>
      <c r="J8" s="107"/>
      <c r="K8" s="107"/>
      <c r="L8" s="107"/>
      <c r="M8" s="107"/>
      <c r="N8" s="107"/>
      <c r="O8" s="107"/>
      <c r="P8" s="107"/>
      <c r="Q8" s="107"/>
      <c r="R8" s="107"/>
      <c r="S8" s="107"/>
    </row>
    <row r="9" spans="1:19" s="6" customFormat="1" ht="20.100000000000001" customHeight="1" x14ac:dyDescent="0.2">
      <c r="A9" s="36" t="s">
        <v>106</v>
      </c>
      <c r="B9" s="41" t="s">
        <v>109</v>
      </c>
      <c r="C9" s="42" t="s">
        <v>131</v>
      </c>
      <c r="D9" s="90">
        <v>0.8</v>
      </c>
      <c r="E9" s="43" t="s">
        <v>82</v>
      </c>
      <c r="F9" s="29"/>
      <c r="G9" s="40" t="str">
        <f>IF(F9="","",IF(SUM($F$8:$F$11)&gt;6,"",F9*D9))</f>
        <v/>
      </c>
      <c r="H9" s="5"/>
      <c r="I9" s="180"/>
      <c r="J9" s="107"/>
      <c r="K9" s="107"/>
      <c r="L9" s="107"/>
      <c r="M9" s="107"/>
      <c r="N9" s="107"/>
      <c r="O9" s="107"/>
      <c r="P9" s="107"/>
      <c r="Q9" s="107"/>
      <c r="R9" s="107"/>
      <c r="S9" s="107"/>
    </row>
    <row r="10" spans="1:19" s="6" customFormat="1" ht="20.100000000000001" customHeight="1" x14ac:dyDescent="0.2">
      <c r="A10" s="36" t="s">
        <v>107</v>
      </c>
      <c r="B10" s="41" t="s">
        <v>110</v>
      </c>
      <c r="C10" s="42" t="s">
        <v>132</v>
      </c>
      <c r="D10" s="90">
        <v>0.9</v>
      </c>
      <c r="E10" s="43" t="s">
        <v>82</v>
      </c>
      <c r="F10" s="29"/>
      <c r="G10" s="40" t="str">
        <f>IF(F10="","",IF(SUM($F$8:$F$11)&gt;6,"",F10*D10))</f>
        <v/>
      </c>
      <c r="H10" s="7"/>
      <c r="I10" s="180"/>
      <c r="J10" s="107"/>
      <c r="K10" s="107"/>
      <c r="L10" s="107"/>
      <c r="M10" s="107"/>
      <c r="N10" s="107"/>
      <c r="O10" s="107"/>
      <c r="P10" s="107"/>
      <c r="Q10" s="107"/>
      <c r="R10" s="107"/>
      <c r="S10" s="107"/>
    </row>
    <row r="11" spans="1:19" s="6" customFormat="1" ht="20.100000000000001" customHeight="1" x14ac:dyDescent="0.2">
      <c r="A11" s="36" t="s">
        <v>108</v>
      </c>
      <c r="B11" s="41" t="s">
        <v>115</v>
      </c>
      <c r="C11" s="42" t="s">
        <v>130</v>
      </c>
      <c r="D11" s="90">
        <v>1</v>
      </c>
      <c r="E11" s="43" t="s">
        <v>82</v>
      </c>
      <c r="F11" s="29"/>
      <c r="G11" s="40" t="str">
        <f>IF(F11="","",IF(SUM($F$8:$F$11)&gt;6,"",F11*D11))</f>
        <v/>
      </c>
      <c r="H11" s="7"/>
      <c r="I11" s="180"/>
      <c r="J11" s="107"/>
      <c r="K11" s="107"/>
      <c r="L11" s="107"/>
      <c r="M11" s="107"/>
      <c r="N11" s="107"/>
      <c r="O11" s="107"/>
      <c r="P11" s="107"/>
      <c r="Q11" s="107"/>
      <c r="R11" s="107"/>
      <c r="S11" s="107"/>
    </row>
    <row r="12" spans="1:19" s="6" customFormat="1" ht="20.100000000000001" customHeight="1" x14ac:dyDescent="0.2">
      <c r="A12" s="117" t="s">
        <v>2</v>
      </c>
      <c r="B12" s="152" t="s">
        <v>261</v>
      </c>
      <c r="C12" s="153"/>
      <c r="D12" s="153"/>
      <c r="E12" s="153"/>
      <c r="F12" s="153"/>
      <c r="G12" s="154"/>
      <c r="H12" s="7"/>
      <c r="I12" s="107"/>
      <c r="J12" s="107"/>
      <c r="K12" s="107"/>
      <c r="L12" s="107"/>
      <c r="M12" s="107"/>
      <c r="N12" s="107"/>
      <c r="O12" s="107"/>
      <c r="P12" s="107"/>
      <c r="Q12" s="107"/>
      <c r="R12" s="107"/>
      <c r="S12" s="107"/>
    </row>
    <row r="13" spans="1:19" s="6" customFormat="1" ht="20.100000000000001" customHeight="1" x14ac:dyDescent="0.2">
      <c r="A13" s="36" t="s">
        <v>111</v>
      </c>
      <c r="B13" s="41" t="s">
        <v>105</v>
      </c>
      <c r="C13" s="42" t="s">
        <v>179</v>
      </c>
      <c r="D13" s="90">
        <f>0.6*0.85</f>
        <v>0.51</v>
      </c>
      <c r="E13" s="43" t="s">
        <v>82</v>
      </c>
      <c r="F13" s="29"/>
      <c r="G13" s="44" t="str">
        <f>IF(F13="","",IF(SUM($F$13:$F$16)&gt;6,F13*D13,""))</f>
        <v/>
      </c>
      <c r="H13" s="7"/>
      <c r="I13" s="180" t="str">
        <f>IF(AND(F13="",F14="",F15="",F16=""),"",IF(SUM(F13:F16)&gt;6,"","ACHTUNG:" &amp; CHAR(10) &amp; "Kontrollieren Sie bitte ob es sich um eine Wohnanlage handelt!" &amp; CHAR(10) &amp; "Eingabe bei Pkt. 1.1"))</f>
        <v/>
      </c>
      <c r="J13" s="107"/>
      <c r="K13" s="107"/>
      <c r="L13" s="107"/>
      <c r="M13" s="107"/>
      <c r="N13" s="107"/>
      <c r="O13" s="107"/>
      <c r="P13" s="107"/>
      <c r="Q13" s="107"/>
      <c r="R13" s="107"/>
      <c r="S13" s="107"/>
    </row>
    <row r="14" spans="1:19" s="6" customFormat="1" ht="20.100000000000001" customHeight="1" x14ac:dyDescent="0.2">
      <c r="A14" s="36" t="s">
        <v>112</v>
      </c>
      <c r="B14" s="41" t="s">
        <v>109</v>
      </c>
      <c r="C14" s="42" t="s">
        <v>180</v>
      </c>
      <c r="D14" s="90">
        <f>0.8*0.85</f>
        <v>0.68</v>
      </c>
      <c r="E14" s="43" t="s">
        <v>82</v>
      </c>
      <c r="F14" s="29"/>
      <c r="G14" s="44" t="str">
        <f>IF(F14="","",IF(SUM($F$13:$F$16)&gt;6,F14*D14,""))</f>
        <v/>
      </c>
      <c r="H14" s="7"/>
      <c r="I14" s="180"/>
      <c r="J14" s="107"/>
      <c r="K14" s="107"/>
      <c r="L14" s="107"/>
      <c r="M14" s="107"/>
      <c r="N14" s="107"/>
      <c r="O14" s="107"/>
      <c r="P14" s="107"/>
      <c r="Q14" s="107"/>
      <c r="R14" s="107"/>
      <c r="S14" s="107"/>
    </row>
    <row r="15" spans="1:19" s="6" customFormat="1" ht="20.100000000000001" customHeight="1" x14ac:dyDescent="0.2">
      <c r="A15" s="36" t="s">
        <v>113</v>
      </c>
      <c r="B15" s="41" t="s">
        <v>110</v>
      </c>
      <c r="C15" s="42" t="s">
        <v>181</v>
      </c>
      <c r="D15" s="90">
        <f>0.9*0.85</f>
        <v>0.76500000000000001</v>
      </c>
      <c r="E15" s="43" t="s">
        <v>82</v>
      </c>
      <c r="F15" s="29"/>
      <c r="G15" s="44" t="str">
        <f t="shared" ref="G15:G16" si="0">IF(F15="","",IF(SUM($F$13:$F$16)&gt;6,F15*D15,""))</f>
        <v/>
      </c>
      <c r="H15" s="7"/>
      <c r="I15" s="180"/>
      <c r="J15" s="107"/>
      <c r="K15" s="107"/>
      <c r="L15" s="107"/>
      <c r="M15" s="107"/>
      <c r="N15" s="107"/>
      <c r="O15" s="107"/>
      <c r="P15" s="107"/>
      <c r="Q15" s="107"/>
      <c r="R15" s="107"/>
      <c r="S15" s="107"/>
    </row>
    <row r="16" spans="1:19" s="6" customFormat="1" ht="20.100000000000001" customHeight="1" x14ac:dyDescent="0.2">
      <c r="A16" s="36" t="s">
        <v>114</v>
      </c>
      <c r="B16" s="41" t="s">
        <v>115</v>
      </c>
      <c r="C16" s="42" t="s">
        <v>182</v>
      </c>
      <c r="D16" s="90">
        <f>1*0.85</f>
        <v>0.85</v>
      </c>
      <c r="E16" s="43" t="s">
        <v>82</v>
      </c>
      <c r="F16" s="29"/>
      <c r="G16" s="44" t="str">
        <f t="shared" si="0"/>
        <v/>
      </c>
      <c r="H16" s="7"/>
      <c r="I16" s="180"/>
      <c r="J16" s="107"/>
      <c r="K16" s="107"/>
      <c r="L16" s="107"/>
      <c r="M16" s="107"/>
      <c r="N16" s="107"/>
      <c r="O16" s="107"/>
      <c r="P16" s="107"/>
      <c r="Q16" s="107"/>
      <c r="R16" s="107"/>
      <c r="S16" s="107"/>
    </row>
    <row r="17" spans="1:19" s="6" customFormat="1" ht="20.100000000000001" customHeight="1" x14ac:dyDescent="0.2">
      <c r="A17" s="117" t="s">
        <v>3</v>
      </c>
      <c r="B17" s="149" t="s">
        <v>120</v>
      </c>
      <c r="C17" s="150"/>
      <c r="D17" s="150"/>
      <c r="E17" s="150"/>
      <c r="F17" s="150"/>
      <c r="G17" s="151"/>
      <c r="H17" s="7"/>
      <c r="I17" s="107"/>
      <c r="J17" s="107"/>
      <c r="K17" s="107"/>
      <c r="L17" s="107"/>
      <c r="M17" s="107"/>
      <c r="N17" s="107"/>
      <c r="O17" s="107"/>
      <c r="P17" s="107"/>
      <c r="Q17" s="107"/>
      <c r="R17" s="107"/>
      <c r="S17" s="107"/>
    </row>
    <row r="18" spans="1:19" s="6" customFormat="1" ht="20.100000000000001" customHeight="1" x14ac:dyDescent="0.2">
      <c r="A18" s="45" t="s">
        <v>116</v>
      </c>
      <c r="B18" s="158" t="s">
        <v>118</v>
      </c>
      <c r="C18" s="159"/>
      <c r="D18" s="159"/>
      <c r="E18" s="159"/>
      <c r="F18" s="159"/>
      <c r="G18" s="160"/>
      <c r="H18" s="7"/>
      <c r="I18" s="107"/>
      <c r="J18" s="107"/>
      <c r="K18" s="107"/>
      <c r="L18" s="107"/>
      <c r="M18" s="107"/>
      <c r="N18" s="107"/>
      <c r="O18" s="107"/>
      <c r="P18" s="107"/>
      <c r="Q18" s="107"/>
      <c r="R18" s="107"/>
      <c r="S18" s="107"/>
    </row>
    <row r="19" spans="1:19" s="6" customFormat="1" ht="20.100000000000001" customHeight="1" x14ac:dyDescent="0.2">
      <c r="A19" s="36" t="s">
        <v>121</v>
      </c>
      <c r="B19" s="41" t="s">
        <v>105</v>
      </c>
      <c r="C19" s="42" t="s">
        <v>183</v>
      </c>
      <c r="D19" s="90">
        <f>0.6*0.75</f>
        <v>0.44999999999999996</v>
      </c>
      <c r="E19" s="43" t="s">
        <v>82</v>
      </c>
      <c r="F19" s="29"/>
      <c r="G19" s="44" t="str">
        <f>IF(F19="","",IF(SUM($F$19:$F$22)&gt;5,"",F19*D19))</f>
        <v/>
      </c>
      <c r="H19" s="7"/>
      <c r="I19" s="180" t="str">
        <f>IF(SUM(F19:F22)&gt;5,"ACHTUNG:" &amp; CHAR(10) &amp; "Es wurden mehr als 5 WE eingegeben!" &amp; CHAR(10) &amp; "Eingabe bei Pkt. 1.3.2","")</f>
        <v/>
      </c>
      <c r="J19" s="107"/>
      <c r="K19" s="107"/>
      <c r="L19" s="107"/>
      <c r="M19" s="107"/>
      <c r="N19" s="107"/>
      <c r="O19" s="107"/>
      <c r="P19" s="107"/>
      <c r="Q19" s="107"/>
      <c r="R19" s="107"/>
      <c r="S19" s="107"/>
    </row>
    <row r="20" spans="1:19" s="6" customFormat="1" ht="20.100000000000001" customHeight="1" x14ac:dyDescent="0.2">
      <c r="A20" s="36" t="s">
        <v>122</v>
      </c>
      <c r="B20" s="41" t="s">
        <v>109</v>
      </c>
      <c r="C20" s="42" t="s">
        <v>184</v>
      </c>
      <c r="D20" s="90">
        <f>0.8*0.75</f>
        <v>0.60000000000000009</v>
      </c>
      <c r="E20" s="43" t="s">
        <v>82</v>
      </c>
      <c r="F20" s="29"/>
      <c r="G20" s="44" t="str">
        <f t="shared" ref="G20:G22" si="1">IF(F20="","",IF(SUM($F$19:$F$22)&gt;5,"",F20*D20))</f>
        <v/>
      </c>
      <c r="H20" s="7"/>
      <c r="I20" s="180"/>
      <c r="J20" s="107"/>
      <c r="K20" s="107"/>
      <c r="L20" s="107"/>
      <c r="M20" s="107"/>
      <c r="N20" s="107"/>
      <c r="O20" s="107"/>
      <c r="P20" s="107"/>
      <c r="Q20" s="107"/>
      <c r="R20" s="107"/>
      <c r="S20" s="107"/>
    </row>
    <row r="21" spans="1:19" s="6" customFormat="1" ht="20.100000000000001" customHeight="1" x14ac:dyDescent="0.2">
      <c r="A21" s="36" t="s">
        <v>123</v>
      </c>
      <c r="B21" s="41" t="s">
        <v>110</v>
      </c>
      <c r="C21" s="42" t="s">
        <v>175</v>
      </c>
      <c r="D21" s="90">
        <f>0.9*0.75</f>
        <v>0.67500000000000004</v>
      </c>
      <c r="E21" s="43" t="s">
        <v>82</v>
      </c>
      <c r="F21" s="29"/>
      <c r="G21" s="44" t="str">
        <f t="shared" si="1"/>
        <v/>
      </c>
      <c r="H21" s="7"/>
      <c r="I21" s="180"/>
      <c r="J21" s="107"/>
      <c r="K21" s="107"/>
      <c r="L21" s="107"/>
      <c r="M21" s="107"/>
      <c r="N21" s="107"/>
      <c r="O21" s="107"/>
      <c r="P21" s="107"/>
      <c r="Q21" s="107"/>
      <c r="R21" s="107"/>
      <c r="S21" s="107"/>
    </row>
    <row r="22" spans="1:19" s="6" customFormat="1" ht="20.100000000000001" customHeight="1" x14ac:dyDescent="0.2">
      <c r="A22" s="36" t="s">
        <v>124</v>
      </c>
      <c r="B22" s="41" t="s">
        <v>115</v>
      </c>
      <c r="C22" s="42" t="s">
        <v>185</v>
      </c>
      <c r="D22" s="90">
        <f>1*0.75</f>
        <v>0.75</v>
      </c>
      <c r="E22" s="43" t="s">
        <v>82</v>
      </c>
      <c r="F22" s="29"/>
      <c r="G22" s="44" t="str">
        <f t="shared" si="1"/>
        <v/>
      </c>
      <c r="H22" s="7"/>
      <c r="I22" s="180"/>
      <c r="J22" s="107"/>
      <c r="K22" s="107"/>
      <c r="L22" s="107"/>
      <c r="M22" s="107"/>
      <c r="N22" s="107"/>
      <c r="O22" s="107"/>
      <c r="P22" s="107"/>
      <c r="Q22" s="107"/>
      <c r="R22" s="107"/>
      <c r="S22" s="107"/>
    </row>
    <row r="23" spans="1:19" s="6" customFormat="1" ht="20.100000000000001" customHeight="1" x14ac:dyDescent="0.2">
      <c r="A23" s="45" t="s">
        <v>117</v>
      </c>
      <c r="B23" s="155" t="s">
        <v>119</v>
      </c>
      <c r="C23" s="156"/>
      <c r="D23" s="156"/>
      <c r="E23" s="156"/>
      <c r="F23" s="156"/>
      <c r="G23" s="157"/>
      <c r="H23" s="7"/>
      <c r="I23" s="107"/>
      <c r="J23" s="107"/>
      <c r="K23" s="107"/>
      <c r="L23" s="107"/>
      <c r="M23" s="107"/>
      <c r="N23" s="107"/>
      <c r="O23" s="107"/>
      <c r="P23" s="107"/>
      <c r="Q23" s="107"/>
      <c r="R23" s="107"/>
      <c r="S23" s="107"/>
    </row>
    <row r="24" spans="1:19" s="6" customFormat="1" ht="20.100000000000001" customHeight="1" x14ac:dyDescent="0.2">
      <c r="A24" s="36" t="s">
        <v>125</v>
      </c>
      <c r="B24" s="41" t="s">
        <v>105</v>
      </c>
      <c r="C24" s="42" t="s">
        <v>186</v>
      </c>
      <c r="D24" s="90">
        <f>0.6*0.65</f>
        <v>0.39</v>
      </c>
      <c r="E24" s="43" t="s">
        <v>82</v>
      </c>
      <c r="F24" s="29"/>
      <c r="G24" s="44" t="str">
        <f>IF(F24="","",IF(SUM($F$24:$F$29)&gt;5,F24*D24,""))</f>
        <v/>
      </c>
      <c r="H24" s="7"/>
      <c r="I24" s="180" t="str">
        <f>IF(AND(F24="",F25="",F26="",F27=""),"",IF(SUM(F24:F27)&gt;5,"","ACHTUNG:" &amp; CHAR(10) &amp; "Kontrollieren Sie bitte ob es sich um eine Wohnanlage handelt!" &amp; CHAR(10) &amp; "Eingabe bei Pkt. 1.3.1"))</f>
        <v/>
      </c>
      <c r="J24" s="107"/>
      <c r="K24" s="107"/>
      <c r="L24" s="107"/>
      <c r="M24" s="107"/>
      <c r="N24" s="107"/>
      <c r="O24" s="107"/>
      <c r="P24" s="107"/>
      <c r="Q24" s="107"/>
      <c r="R24" s="107"/>
      <c r="S24" s="107"/>
    </row>
    <row r="25" spans="1:19" s="6" customFormat="1" ht="20.100000000000001" customHeight="1" x14ac:dyDescent="0.2">
      <c r="A25" s="36" t="s">
        <v>126</v>
      </c>
      <c r="B25" s="41" t="s">
        <v>109</v>
      </c>
      <c r="C25" s="42" t="s">
        <v>187</v>
      </c>
      <c r="D25" s="90">
        <f>0.8*0.65</f>
        <v>0.52</v>
      </c>
      <c r="E25" s="43" t="s">
        <v>82</v>
      </c>
      <c r="F25" s="29"/>
      <c r="G25" s="44" t="str">
        <f t="shared" ref="G25:G27" si="2">IF(F25="","",IF(SUM($F$24:$F$29)&gt;5,F25*D25,""))</f>
        <v/>
      </c>
      <c r="H25" s="7"/>
      <c r="I25" s="180"/>
      <c r="J25" s="107"/>
      <c r="K25" s="107"/>
      <c r="L25" s="107"/>
      <c r="M25" s="107"/>
      <c r="N25" s="107"/>
      <c r="O25" s="107"/>
      <c r="P25" s="107"/>
      <c r="Q25" s="107"/>
      <c r="R25" s="107"/>
      <c r="S25" s="107"/>
    </row>
    <row r="26" spans="1:19" s="6" customFormat="1" ht="20.100000000000001" customHeight="1" x14ac:dyDescent="0.2">
      <c r="A26" s="36" t="s">
        <v>127</v>
      </c>
      <c r="B26" s="41" t="s">
        <v>110</v>
      </c>
      <c r="C26" s="42" t="s">
        <v>176</v>
      </c>
      <c r="D26" s="90">
        <f>0.9*0.65</f>
        <v>0.58500000000000008</v>
      </c>
      <c r="E26" s="43" t="s">
        <v>82</v>
      </c>
      <c r="F26" s="29"/>
      <c r="G26" s="44" t="str">
        <f t="shared" si="2"/>
        <v/>
      </c>
      <c r="H26" s="7"/>
      <c r="I26" s="180"/>
      <c r="J26" s="107"/>
      <c r="K26" s="107"/>
      <c r="L26" s="107"/>
      <c r="M26" s="107"/>
      <c r="N26" s="107"/>
      <c r="O26" s="107"/>
      <c r="P26" s="107"/>
      <c r="Q26" s="107"/>
      <c r="R26" s="107"/>
      <c r="S26" s="107"/>
    </row>
    <row r="27" spans="1:19" s="6" customFormat="1" ht="20.100000000000001" customHeight="1" x14ac:dyDescent="0.2">
      <c r="A27" s="36" t="s">
        <v>128</v>
      </c>
      <c r="B27" s="41" t="s">
        <v>115</v>
      </c>
      <c r="C27" s="42" t="s">
        <v>188</v>
      </c>
      <c r="D27" s="90">
        <f>1*0.65</f>
        <v>0.65</v>
      </c>
      <c r="E27" s="43" t="s">
        <v>82</v>
      </c>
      <c r="F27" s="29"/>
      <c r="G27" s="44" t="str">
        <f t="shared" si="2"/>
        <v/>
      </c>
      <c r="H27" s="7"/>
      <c r="I27" s="180"/>
      <c r="J27" s="107"/>
      <c r="K27" s="107"/>
      <c r="L27" s="107"/>
      <c r="M27" s="107"/>
      <c r="N27" s="107"/>
      <c r="O27" s="107"/>
      <c r="P27" s="107"/>
      <c r="Q27" s="107"/>
      <c r="R27" s="107"/>
      <c r="S27" s="107"/>
    </row>
    <row r="28" spans="1:19" s="6" customFormat="1" ht="30" customHeight="1" x14ac:dyDescent="0.2">
      <c r="A28" s="45" t="s">
        <v>5</v>
      </c>
      <c r="B28" s="46" t="s">
        <v>4</v>
      </c>
      <c r="C28" s="47" t="s">
        <v>138</v>
      </c>
      <c r="D28" s="90">
        <f>1/30</f>
        <v>3.3333333333333333E-2</v>
      </c>
      <c r="E28" s="43" t="s">
        <v>200</v>
      </c>
      <c r="F28" s="29"/>
      <c r="G28" s="44" t="str">
        <f>IF(F28="","",IF(F28*D28&lt;1,1,F28*D28))</f>
        <v/>
      </c>
      <c r="H28" s="8"/>
      <c r="I28" s="107" t="s">
        <v>269</v>
      </c>
      <c r="J28" s="107"/>
      <c r="K28" s="107"/>
      <c r="L28" s="107"/>
      <c r="M28" s="107"/>
      <c r="N28" s="107"/>
      <c r="O28" s="107"/>
      <c r="P28" s="107"/>
      <c r="Q28" s="107"/>
      <c r="R28" s="107"/>
      <c r="S28" s="107"/>
    </row>
    <row r="29" spans="1:19" s="6" customFormat="1" ht="30" customHeight="1" thickBot="1" x14ac:dyDescent="0.25">
      <c r="A29" s="49" t="s">
        <v>99</v>
      </c>
      <c r="B29" s="50" t="s">
        <v>6</v>
      </c>
      <c r="C29" s="51" t="s">
        <v>137</v>
      </c>
      <c r="D29" s="90">
        <f>1/4</f>
        <v>0.25</v>
      </c>
      <c r="E29" s="52" t="s">
        <v>200</v>
      </c>
      <c r="F29" s="33"/>
      <c r="G29" s="53" t="str">
        <f>IF(F29="","",IF(F29*D29&lt;1,1,F29*D29))</f>
        <v/>
      </c>
      <c r="H29" s="7"/>
      <c r="I29" s="124">
        <f>ROUND(SUM(G8:G11,G13:G16,G19:G22,G24:G29),0)</f>
        <v>0</v>
      </c>
      <c r="J29" s="107"/>
      <c r="K29" s="107"/>
      <c r="L29" s="107"/>
      <c r="M29" s="107"/>
      <c r="N29" s="107"/>
      <c r="O29" s="107"/>
      <c r="P29" s="107"/>
      <c r="Q29" s="107"/>
      <c r="R29" s="107"/>
      <c r="S29" s="107"/>
    </row>
    <row r="30" spans="1:19" s="6" customFormat="1" ht="35.1" customHeight="1" thickBot="1" x14ac:dyDescent="0.25">
      <c r="A30" s="54" t="s">
        <v>8</v>
      </c>
      <c r="B30" s="133" t="s">
        <v>0</v>
      </c>
      <c r="C30" s="134"/>
      <c r="D30" s="134"/>
      <c r="E30" s="134"/>
      <c r="F30" s="134"/>
      <c r="G30" s="135"/>
      <c r="H30" s="7"/>
      <c r="I30" s="107"/>
      <c r="J30" s="107"/>
      <c r="K30" s="107"/>
      <c r="L30" s="107"/>
      <c r="M30" s="107"/>
      <c r="N30" s="107"/>
      <c r="O30" s="107"/>
      <c r="P30" s="107"/>
      <c r="Q30" s="107"/>
      <c r="R30" s="107"/>
      <c r="S30" s="107"/>
    </row>
    <row r="31" spans="1:19" s="6" customFormat="1" ht="50.1" customHeight="1" thickBot="1" x14ac:dyDescent="0.25">
      <c r="A31" s="55" t="s">
        <v>9</v>
      </c>
      <c r="B31" s="56" t="s">
        <v>133</v>
      </c>
      <c r="C31" s="102" t="s">
        <v>251</v>
      </c>
      <c r="D31" s="91">
        <f>1/80</f>
        <v>1.2500000000000001E-2</v>
      </c>
      <c r="E31" s="58" t="s">
        <v>201</v>
      </c>
      <c r="F31" s="34"/>
      <c r="G31" s="59" t="str">
        <f>IF(F31="","",IF(F31*D31&lt;1,1,F31*D31))</f>
        <v/>
      </c>
      <c r="H31" s="7"/>
      <c r="I31" s="107"/>
      <c r="J31" s="107"/>
      <c r="K31" s="107"/>
      <c r="L31" s="107"/>
      <c r="M31" s="107"/>
      <c r="N31" s="107"/>
      <c r="O31" s="107"/>
      <c r="P31" s="107"/>
      <c r="Q31" s="107"/>
      <c r="R31" s="107"/>
      <c r="S31" s="107"/>
    </row>
    <row r="32" spans="1:19" s="6" customFormat="1" ht="35.1" customHeight="1" thickBot="1" x14ac:dyDescent="0.25">
      <c r="A32" s="54" t="s">
        <v>10</v>
      </c>
      <c r="B32" s="133" t="s">
        <v>11</v>
      </c>
      <c r="C32" s="134"/>
      <c r="D32" s="134"/>
      <c r="E32" s="134"/>
      <c r="F32" s="134"/>
      <c r="G32" s="135"/>
      <c r="H32" s="7"/>
      <c r="I32" s="107"/>
      <c r="J32" s="107"/>
      <c r="K32" s="107"/>
      <c r="L32" s="107"/>
      <c r="M32" s="107"/>
      <c r="N32" s="107"/>
      <c r="O32" s="107"/>
      <c r="P32" s="107"/>
      <c r="Q32" s="107"/>
      <c r="R32" s="107"/>
      <c r="S32" s="107"/>
    </row>
    <row r="33" spans="1:19" s="6" customFormat="1" ht="30" customHeight="1" x14ac:dyDescent="0.2">
      <c r="A33" s="60" t="s">
        <v>12</v>
      </c>
      <c r="B33" s="61" t="s">
        <v>17</v>
      </c>
      <c r="C33" s="62" t="s">
        <v>139</v>
      </c>
      <c r="D33" s="90">
        <f>1/40</f>
        <v>2.5000000000000001E-2</v>
      </c>
      <c r="E33" s="39" t="s">
        <v>202</v>
      </c>
      <c r="F33" s="31"/>
      <c r="G33" s="40" t="str">
        <f>IF(F33="","",IF(F33*D33&lt;2,2,F33*D33))</f>
        <v/>
      </c>
      <c r="H33" s="7"/>
      <c r="I33" s="107"/>
      <c r="J33" s="107"/>
      <c r="K33" s="107"/>
      <c r="L33" s="107"/>
      <c r="M33" s="107"/>
      <c r="N33" s="107"/>
      <c r="O33" s="107"/>
      <c r="P33" s="107"/>
      <c r="Q33" s="107"/>
      <c r="R33" s="107"/>
      <c r="S33" s="107"/>
    </row>
    <row r="34" spans="1:19" s="6" customFormat="1" ht="30" customHeight="1" x14ac:dyDescent="0.2">
      <c r="A34" s="63" t="s">
        <v>13</v>
      </c>
      <c r="B34" s="64" t="s">
        <v>134</v>
      </c>
      <c r="C34" s="51" t="s">
        <v>140</v>
      </c>
      <c r="D34" s="90">
        <f>1/35</f>
        <v>2.8571428571428571E-2</v>
      </c>
      <c r="E34" s="43" t="s">
        <v>202</v>
      </c>
      <c r="F34" s="29"/>
      <c r="G34" s="44" t="str">
        <f>IF(F34="","",IF(F34*D34&lt;2,2,F34*D34))</f>
        <v/>
      </c>
      <c r="H34" s="7"/>
      <c r="I34" s="107"/>
      <c r="J34" s="107"/>
      <c r="K34" s="107"/>
      <c r="L34" s="107"/>
      <c r="M34" s="107"/>
      <c r="N34" s="107"/>
      <c r="O34" s="107"/>
      <c r="P34" s="107"/>
      <c r="Q34" s="107"/>
      <c r="R34" s="107"/>
      <c r="S34" s="107"/>
    </row>
    <row r="35" spans="1:19" s="6" customFormat="1" ht="33.75" customHeight="1" x14ac:dyDescent="0.2">
      <c r="A35" s="65" t="s">
        <v>14</v>
      </c>
      <c r="B35" s="103" t="s">
        <v>252</v>
      </c>
      <c r="C35" s="51" t="s">
        <v>141</v>
      </c>
      <c r="D35" s="90">
        <f>1/20</f>
        <v>0.05</v>
      </c>
      <c r="E35" s="43" t="s">
        <v>202</v>
      </c>
      <c r="F35" s="29"/>
      <c r="G35" s="44" t="str">
        <f>IF(F35="","",IF(F35*D35&lt;2,2,F35*D35))</f>
        <v/>
      </c>
      <c r="H35" s="8"/>
      <c r="I35" s="107"/>
      <c r="J35" s="107"/>
      <c r="K35" s="107"/>
      <c r="L35" s="107"/>
      <c r="M35" s="107"/>
      <c r="N35" s="107"/>
      <c r="O35" s="107"/>
      <c r="P35" s="107"/>
      <c r="Q35" s="107"/>
      <c r="R35" s="107"/>
      <c r="S35" s="107"/>
    </row>
    <row r="36" spans="1:19" s="6" customFormat="1" ht="30" customHeight="1" thickBot="1" x14ac:dyDescent="0.25">
      <c r="A36" s="66" t="s">
        <v>16</v>
      </c>
      <c r="B36" s="50" t="s">
        <v>18</v>
      </c>
      <c r="C36" s="67" t="s">
        <v>135</v>
      </c>
      <c r="D36" s="90">
        <f>1/200</f>
        <v>5.0000000000000001E-3</v>
      </c>
      <c r="E36" s="52" t="s">
        <v>203</v>
      </c>
      <c r="F36" s="33"/>
      <c r="G36" s="53" t="str">
        <f>IF(F36="","",F36*D36)</f>
        <v/>
      </c>
      <c r="H36" s="8"/>
      <c r="I36" s="107"/>
      <c r="J36" s="107"/>
      <c r="K36" s="107"/>
      <c r="L36" s="107"/>
      <c r="M36" s="107"/>
      <c r="N36" s="107"/>
      <c r="O36" s="107"/>
      <c r="P36" s="107"/>
      <c r="Q36" s="107"/>
      <c r="R36" s="107"/>
      <c r="S36" s="107"/>
    </row>
    <row r="37" spans="1:19" s="6" customFormat="1" ht="35.1" customHeight="1" thickBot="1" x14ac:dyDescent="0.25">
      <c r="A37" s="54" t="s">
        <v>19</v>
      </c>
      <c r="B37" s="133" t="s">
        <v>20</v>
      </c>
      <c r="C37" s="134"/>
      <c r="D37" s="134"/>
      <c r="E37" s="134"/>
      <c r="F37" s="134"/>
      <c r="G37" s="135"/>
      <c r="H37" s="8"/>
      <c r="I37" s="107"/>
      <c r="J37" s="107"/>
      <c r="K37" s="107"/>
      <c r="L37" s="107"/>
      <c r="M37" s="107"/>
      <c r="N37" s="107"/>
      <c r="O37" s="107"/>
      <c r="P37" s="107"/>
      <c r="Q37" s="107"/>
      <c r="R37" s="107"/>
      <c r="S37" s="107"/>
    </row>
    <row r="38" spans="1:19" s="6" customFormat="1" ht="30" customHeight="1" x14ac:dyDescent="0.2">
      <c r="A38" s="68" t="s">
        <v>21</v>
      </c>
      <c r="B38" s="61" t="s">
        <v>22</v>
      </c>
      <c r="C38" s="47" t="s">
        <v>142</v>
      </c>
      <c r="D38" s="90">
        <f>1/12</f>
        <v>8.3333333333333329E-2</v>
      </c>
      <c r="E38" s="43" t="s">
        <v>204</v>
      </c>
      <c r="F38" s="29"/>
      <c r="G38" s="53" t="str">
        <f>IF(F38="","",IF(F38*D38&lt;1,1,F38*D38))</f>
        <v/>
      </c>
      <c r="H38" s="7"/>
      <c r="I38" s="107"/>
      <c r="J38" s="107"/>
      <c r="K38" s="107"/>
      <c r="L38" s="107"/>
      <c r="M38" s="107"/>
      <c r="N38" s="107"/>
      <c r="O38" s="107"/>
      <c r="P38" s="107"/>
      <c r="Q38" s="107"/>
      <c r="R38" s="107"/>
      <c r="S38" s="107"/>
    </row>
    <row r="39" spans="1:19" s="6" customFormat="1" ht="30" customHeight="1" x14ac:dyDescent="0.2">
      <c r="A39" s="69" t="s">
        <v>23</v>
      </c>
      <c r="B39" s="46" t="s">
        <v>24</v>
      </c>
      <c r="C39" s="47" t="s">
        <v>143</v>
      </c>
      <c r="D39" s="90">
        <f>1/7</f>
        <v>0.14285714285714285</v>
      </c>
      <c r="E39" s="43" t="s">
        <v>200</v>
      </c>
      <c r="F39" s="29"/>
      <c r="G39" s="53" t="str">
        <f>IF(F39="","",IF(F39*D39&lt;1,1,F39*D39))</f>
        <v/>
      </c>
      <c r="H39" s="7"/>
      <c r="I39" s="107"/>
      <c r="J39" s="107"/>
      <c r="K39" s="107"/>
      <c r="L39" s="107"/>
      <c r="M39" s="107"/>
      <c r="N39" s="107"/>
      <c r="O39" s="107"/>
      <c r="P39" s="107"/>
      <c r="Q39" s="107"/>
      <c r="R39" s="107"/>
      <c r="S39" s="107"/>
    </row>
    <row r="40" spans="1:19" s="6" customFormat="1" ht="30" customHeight="1" thickBot="1" x14ac:dyDescent="0.25">
      <c r="A40" s="66" t="s">
        <v>25</v>
      </c>
      <c r="B40" s="50" t="s">
        <v>26</v>
      </c>
      <c r="C40" s="51" t="s">
        <v>144</v>
      </c>
      <c r="D40" s="90">
        <f>1/15</f>
        <v>6.6666666666666666E-2</v>
      </c>
      <c r="E40" s="52" t="s">
        <v>200</v>
      </c>
      <c r="F40" s="33"/>
      <c r="G40" s="53" t="str">
        <f>IF(F40="","",IF(F40*D40&lt;1,1,F40*D40))</f>
        <v/>
      </c>
      <c r="H40" s="7"/>
      <c r="I40" s="107"/>
      <c r="J40" s="107"/>
      <c r="K40" s="107"/>
      <c r="L40" s="107"/>
      <c r="M40" s="107"/>
      <c r="N40" s="107"/>
      <c r="O40" s="107"/>
      <c r="P40" s="107"/>
      <c r="Q40" s="107"/>
      <c r="R40" s="107"/>
      <c r="S40" s="107"/>
    </row>
    <row r="41" spans="1:19" s="6" customFormat="1" ht="35.1" customHeight="1" thickBot="1" x14ac:dyDescent="0.25">
      <c r="A41" s="54" t="s">
        <v>27</v>
      </c>
      <c r="B41" s="133" t="s">
        <v>28</v>
      </c>
      <c r="C41" s="134"/>
      <c r="D41" s="134"/>
      <c r="E41" s="134"/>
      <c r="F41" s="134"/>
      <c r="G41" s="135"/>
      <c r="H41" s="7"/>
      <c r="I41" s="107"/>
      <c r="J41" s="107"/>
      <c r="K41" s="107"/>
      <c r="L41" s="107"/>
      <c r="M41" s="107"/>
      <c r="N41" s="107"/>
      <c r="O41" s="107"/>
      <c r="P41" s="107"/>
      <c r="Q41" s="107"/>
      <c r="R41" s="107"/>
      <c r="S41" s="107"/>
    </row>
    <row r="42" spans="1:19" s="6" customFormat="1" ht="24.95" customHeight="1" x14ac:dyDescent="0.2">
      <c r="A42" s="162" t="s">
        <v>29</v>
      </c>
      <c r="B42" s="166" t="s">
        <v>30</v>
      </c>
      <c r="C42" s="164" t="s">
        <v>136</v>
      </c>
      <c r="D42" s="90">
        <f>1/300</f>
        <v>3.3333333333333335E-3</v>
      </c>
      <c r="E42" s="43" t="s">
        <v>201</v>
      </c>
      <c r="F42" s="29"/>
      <c r="G42" s="168" t="str">
        <f>IF(F42="","",IF(F43="","",IF(F42*D42+F43*D43&lt;1,1,F42*D42+F43*D43)))</f>
        <v/>
      </c>
      <c r="H42" s="7"/>
      <c r="I42" s="107"/>
      <c r="J42" s="107"/>
      <c r="K42" s="107"/>
      <c r="L42" s="107"/>
      <c r="M42" s="107"/>
      <c r="N42" s="107"/>
      <c r="O42" s="107"/>
      <c r="P42" s="107"/>
      <c r="Q42" s="107"/>
      <c r="R42" s="107"/>
      <c r="S42" s="107"/>
    </row>
    <row r="43" spans="1:19" s="6" customFormat="1" ht="24.95" customHeight="1" x14ac:dyDescent="0.2">
      <c r="A43" s="163"/>
      <c r="B43" s="167"/>
      <c r="C43" s="165"/>
      <c r="D43" s="90">
        <f>1/4</f>
        <v>0.25</v>
      </c>
      <c r="E43" s="43" t="s">
        <v>68</v>
      </c>
      <c r="F43" s="29"/>
      <c r="G43" s="169"/>
      <c r="H43" s="8"/>
      <c r="I43" s="107"/>
      <c r="J43" s="107"/>
      <c r="K43" s="107"/>
      <c r="L43" s="107"/>
      <c r="M43" s="107"/>
      <c r="N43" s="107"/>
      <c r="O43" s="107"/>
      <c r="P43" s="107"/>
      <c r="Q43" s="107"/>
      <c r="R43" s="107"/>
      <c r="S43" s="107"/>
    </row>
    <row r="44" spans="1:19" s="6" customFormat="1" ht="33.75" hidden="1" customHeight="1" x14ac:dyDescent="0.2">
      <c r="A44" s="69" t="s">
        <v>31</v>
      </c>
      <c r="B44" s="46" t="s">
        <v>32</v>
      </c>
      <c r="C44" s="47" t="s">
        <v>57</v>
      </c>
      <c r="D44" s="90">
        <v>1.2500000000000001E-2</v>
      </c>
      <c r="E44" s="43" t="s">
        <v>61</v>
      </c>
      <c r="F44" s="29"/>
      <c r="G44" s="73" t="str">
        <f>IF($F$44="","",$F$44*$D$44)</f>
        <v/>
      </c>
      <c r="H44" s="8"/>
      <c r="I44" s="107"/>
      <c r="J44" s="107"/>
      <c r="K44" s="107"/>
      <c r="L44" s="107"/>
      <c r="M44" s="107"/>
      <c r="N44" s="107"/>
      <c r="O44" s="107"/>
      <c r="P44" s="107"/>
      <c r="Q44" s="107"/>
      <c r="R44" s="107"/>
      <c r="S44" s="107"/>
    </row>
    <row r="45" spans="1:19" s="6" customFormat="1" ht="20.100000000000001" customHeight="1" x14ac:dyDescent="0.2">
      <c r="A45" s="69" t="s">
        <v>31</v>
      </c>
      <c r="B45" s="46" t="s">
        <v>32</v>
      </c>
      <c r="C45" s="42" t="s">
        <v>145</v>
      </c>
      <c r="D45" s="90">
        <f>1/300</f>
        <v>3.3333333333333335E-3</v>
      </c>
      <c r="E45" s="43" t="s">
        <v>205</v>
      </c>
      <c r="F45" s="29"/>
      <c r="G45" s="53" t="str">
        <f>IF(F45="","",F45*D45)</f>
        <v/>
      </c>
      <c r="H45" s="8"/>
      <c r="I45" s="107"/>
      <c r="J45" s="107"/>
      <c r="K45" s="107"/>
      <c r="L45" s="107"/>
      <c r="M45" s="107"/>
      <c r="N45" s="107"/>
      <c r="O45" s="107"/>
      <c r="P45" s="107"/>
      <c r="Q45" s="107"/>
      <c r="R45" s="107"/>
      <c r="S45" s="107"/>
    </row>
    <row r="46" spans="1:19" s="6" customFormat="1" ht="20.100000000000001" customHeight="1" thickBot="1" x14ac:dyDescent="0.25">
      <c r="A46" s="66" t="s">
        <v>33</v>
      </c>
      <c r="B46" s="50" t="s">
        <v>34</v>
      </c>
      <c r="C46" s="51" t="s">
        <v>58</v>
      </c>
      <c r="D46" s="90">
        <v>2</v>
      </c>
      <c r="E46" s="52" t="s">
        <v>34</v>
      </c>
      <c r="F46" s="33"/>
      <c r="G46" s="53" t="str">
        <f>IF(F46="","",F46*D46)</f>
        <v/>
      </c>
      <c r="H46" s="8"/>
      <c r="I46" s="107"/>
      <c r="J46" s="107"/>
      <c r="K46" s="107"/>
      <c r="L46" s="107"/>
      <c r="M46" s="107"/>
      <c r="N46" s="107"/>
      <c r="O46" s="107"/>
      <c r="P46" s="107"/>
      <c r="Q46" s="107"/>
      <c r="R46" s="107"/>
      <c r="S46" s="107"/>
    </row>
    <row r="47" spans="1:19" s="6" customFormat="1" ht="35.1" customHeight="1" thickBot="1" x14ac:dyDescent="0.25">
      <c r="A47" s="54" t="s">
        <v>35</v>
      </c>
      <c r="B47" s="133" t="s">
        <v>36</v>
      </c>
      <c r="C47" s="134"/>
      <c r="D47" s="134"/>
      <c r="E47" s="134"/>
      <c r="F47" s="134"/>
      <c r="G47" s="135"/>
      <c r="H47" s="8"/>
      <c r="I47" s="107"/>
      <c r="J47" s="107"/>
      <c r="K47" s="107"/>
      <c r="L47" s="107"/>
      <c r="M47" s="107"/>
      <c r="N47" s="107"/>
      <c r="O47" s="107"/>
      <c r="P47" s="107"/>
      <c r="Q47" s="107"/>
      <c r="R47" s="107"/>
      <c r="S47" s="107"/>
    </row>
    <row r="48" spans="1:19" s="6" customFormat="1" ht="30" customHeight="1" x14ac:dyDescent="0.2">
      <c r="A48" s="68" t="s">
        <v>37</v>
      </c>
      <c r="B48" s="61" t="s">
        <v>146</v>
      </c>
      <c r="C48" s="62" t="s">
        <v>147</v>
      </c>
      <c r="D48" s="90">
        <f>1/15</f>
        <v>6.6666666666666666E-2</v>
      </c>
      <c r="E48" s="39" t="s">
        <v>70</v>
      </c>
      <c r="F48" s="31"/>
      <c r="G48" s="53" t="str">
        <f>IF(F48="","",F48*D48)</f>
        <v/>
      </c>
      <c r="H48" s="7"/>
      <c r="I48" s="107"/>
      <c r="J48" s="107"/>
      <c r="K48" s="107"/>
      <c r="L48" s="107"/>
      <c r="M48" s="107"/>
      <c r="N48" s="107"/>
      <c r="O48" s="107"/>
      <c r="P48" s="107"/>
      <c r="Q48" s="107"/>
      <c r="R48" s="107"/>
      <c r="S48" s="107"/>
    </row>
    <row r="49" spans="1:19" s="6" customFormat="1" ht="30" customHeight="1" thickBot="1" x14ac:dyDescent="0.25">
      <c r="A49" s="66" t="s">
        <v>38</v>
      </c>
      <c r="B49" s="50" t="s">
        <v>148</v>
      </c>
      <c r="C49" s="51" t="s">
        <v>149</v>
      </c>
      <c r="D49" s="90">
        <f>1/20</f>
        <v>0.05</v>
      </c>
      <c r="E49" s="52" t="s">
        <v>70</v>
      </c>
      <c r="F49" s="33"/>
      <c r="G49" s="53" t="str">
        <f>IF($F$49="","",$F$49*$D$49)</f>
        <v/>
      </c>
      <c r="H49" s="7"/>
      <c r="I49" s="107"/>
      <c r="J49" s="107"/>
      <c r="K49" s="107"/>
      <c r="L49" s="107"/>
      <c r="M49" s="107"/>
      <c r="N49" s="107"/>
      <c r="O49" s="107"/>
      <c r="P49" s="107"/>
      <c r="Q49" s="107"/>
      <c r="R49" s="107"/>
      <c r="S49" s="107"/>
    </row>
    <row r="50" spans="1:19" s="6" customFormat="1" ht="35.1" customHeight="1" thickBot="1" x14ac:dyDescent="0.25">
      <c r="A50" s="54" t="s">
        <v>39</v>
      </c>
      <c r="B50" s="133" t="s">
        <v>40</v>
      </c>
      <c r="C50" s="134"/>
      <c r="D50" s="134"/>
      <c r="E50" s="134"/>
      <c r="F50" s="134"/>
      <c r="G50" s="135"/>
      <c r="H50" s="7"/>
      <c r="I50" s="107"/>
      <c r="J50" s="107"/>
      <c r="K50" s="107"/>
      <c r="L50" s="107"/>
      <c r="M50" s="107"/>
      <c r="N50" s="107"/>
      <c r="O50" s="107"/>
      <c r="P50" s="107"/>
      <c r="Q50" s="107"/>
      <c r="R50" s="107"/>
      <c r="S50" s="107"/>
    </row>
    <row r="51" spans="1:19" s="6" customFormat="1" ht="20.100000000000001" customHeight="1" x14ac:dyDescent="0.2">
      <c r="A51" s="68" t="s">
        <v>41</v>
      </c>
      <c r="B51" s="61" t="s">
        <v>42</v>
      </c>
      <c r="C51" s="62" t="s">
        <v>150</v>
      </c>
      <c r="D51" s="90">
        <f>1/5</f>
        <v>0.2</v>
      </c>
      <c r="E51" s="39" t="s">
        <v>206</v>
      </c>
      <c r="F51" s="31"/>
      <c r="G51" s="53" t="str">
        <f>IF(F51="","",F51*D51)</f>
        <v/>
      </c>
      <c r="H51" s="7"/>
      <c r="I51" s="107"/>
      <c r="J51" s="107"/>
      <c r="K51" s="107"/>
      <c r="L51" s="107"/>
      <c r="M51" s="107"/>
      <c r="N51" s="107"/>
      <c r="O51" s="107"/>
      <c r="P51" s="107"/>
      <c r="Q51" s="107"/>
      <c r="R51" s="107"/>
      <c r="S51" s="107"/>
    </row>
    <row r="52" spans="1:19" s="6" customFormat="1" ht="30" customHeight="1" x14ac:dyDescent="0.2">
      <c r="A52" s="69" t="s">
        <v>43</v>
      </c>
      <c r="B52" s="46" t="s">
        <v>44</v>
      </c>
      <c r="C52" s="47" t="s">
        <v>151</v>
      </c>
      <c r="D52" s="90">
        <f>1/4</f>
        <v>0.25</v>
      </c>
      <c r="E52" s="43" t="s">
        <v>207</v>
      </c>
      <c r="F52" s="29"/>
      <c r="G52" s="53" t="str">
        <f t="shared" ref="G52" si="3">IF(F52="","",F52*D52)</f>
        <v/>
      </c>
      <c r="H52" s="7"/>
      <c r="I52" s="107"/>
      <c r="J52" s="107"/>
      <c r="K52" s="107"/>
      <c r="L52" s="107"/>
      <c r="M52" s="107"/>
      <c r="N52" s="107"/>
      <c r="O52" s="107"/>
      <c r="P52" s="107"/>
      <c r="Q52" s="107"/>
      <c r="R52" s="107"/>
      <c r="S52" s="107"/>
    </row>
    <row r="53" spans="1:19" s="6" customFormat="1" ht="43.5" thickBot="1" x14ac:dyDescent="0.25">
      <c r="A53" s="66" t="s">
        <v>45</v>
      </c>
      <c r="B53" s="50" t="s">
        <v>256</v>
      </c>
      <c r="C53" s="51" t="s">
        <v>258</v>
      </c>
      <c r="D53" s="90">
        <v>0.05</v>
      </c>
      <c r="E53" s="52" t="s">
        <v>208</v>
      </c>
      <c r="F53" s="33"/>
      <c r="G53" s="53" t="str">
        <f>IF(F53="","",IF(F53*D53&lt;1,1,F53*D53))</f>
        <v/>
      </c>
      <c r="H53" s="7"/>
      <c r="I53" s="107"/>
      <c r="J53" s="107"/>
      <c r="K53" s="107"/>
      <c r="L53" s="107"/>
      <c r="M53" s="107"/>
      <c r="N53" s="107"/>
      <c r="O53" s="107"/>
      <c r="P53" s="107"/>
      <c r="Q53" s="107"/>
      <c r="R53" s="107"/>
      <c r="S53" s="107"/>
    </row>
    <row r="54" spans="1:19" s="6" customFormat="1" ht="35.1" customHeight="1" thickBot="1" x14ac:dyDescent="0.25">
      <c r="A54" s="54" t="s">
        <v>47</v>
      </c>
      <c r="B54" s="133" t="s">
        <v>46</v>
      </c>
      <c r="C54" s="134"/>
      <c r="D54" s="134"/>
      <c r="E54" s="134"/>
      <c r="F54" s="134"/>
      <c r="G54" s="135"/>
      <c r="H54" s="7"/>
      <c r="I54" s="107"/>
      <c r="J54" s="107"/>
      <c r="K54" s="107"/>
      <c r="L54" s="107"/>
      <c r="M54" s="107"/>
      <c r="N54" s="107"/>
      <c r="O54" s="107"/>
      <c r="P54" s="107"/>
      <c r="Q54" s="107"/>
      <c r="R54" s="107"/>
      <c r="S54" s="107"/>
    </row>
    <row r="55" spans="1:19" s="6" customFormat="1" ht="29.25" thickBot="1" x14ac:dyDescent="0.25">
      <c r="A55" s="74" t="s">
        <v>48</v>
      </c>
      <c r="B55" s="75" t="s">
        <v>49</v>
      </c>
      <c r="C55" s="51" t="s">
        <v>152</v>
      </c>
      <c r="D55" s="90">
        <f>1/15</f>
        <v>6.6666666666666666E-2</v>
      </c>
      <c r="E55" s="52" t="s">
        <v>200</v>
      </c>
      <c r="F55" s="33"/>
      <c r="G55" s="53" t="str">
        <f>IF(F55="","",F55*D55)</f>
        <v/>
      </c>
      <c r="H55" s="7"/>
      <c r="I55" s="107"/>
      <c r="J55" s="107"/>
      <c r="K55" s="107"/>
      <c r="L55" s="107"/>
      <c r="M55" s="107"/>
      <c r="N55" s="107"/>
      <c r="O55" s="107"/>
      <c r="P55" s="107"/>
      <c r="Q55" s="107"/>
      <c r="R55" s="107"/>
      <c r="S55" s="107"/>
    </row>
    <row r="56" spans="1:19" s="6" customFormat="1" ht="35.1" customHeight="1" thickBot="1" x14ac:dyDescent="0.25">
      <c r="A56" s="54" t="s">
        <v>50</v>
      </c>
      <c r="B56" s="133" t="s">
        <v>51</v>
      </c>
      <c r="C56" s="134"/>
      <c r="D56" s="134"/>
      <c r="E56" s="134"/>
      <c r="F56" s="134"/>
      <c r="G56" s="135"/>
      <c r="H56" s="7"/>
      <c r="I56" s="107"/>
      <c r="J56" s="107"/>
      <c r="K56" s="107"/>
      <c r="L56" s="107"/>
      <c r="M56" s="107"/>
      <c r="N56" s="107"/>
      <c r="O56" s="107"/>
      <c r="P56" s="107"/>
      <c r="Q56" s="107"/>
      <c r="R56" s="107"/>
      <c r="S56" s="107"/>
    </row>
    <row r="57" spans="1:19" s="6" customFormat="1" hidden="1" x14ac:dyDescent="0.2">
      <c r="A57" s="72" t="s">
        <v>55</v>
      </c>
      <c r="B57" s="61" t="s">
        <v>54</v>
      </c>
      <c r="C57" s="62" t="s">
        <v>59</v>
      </c>
      <c r="D57" s="48">
        <v>0.5</v>
      </c>
      <c r="E57" s="39" t="s">
        <v>63</v>
      </c>
      <c r="F57" s="88"/>
      <c r="G57" s="89" t="str">
        <f>IF($F$57="","",$F$57*$D$57)</f>
        <v/>
      </c>
      <c r="H57" s="7"/>
      <c r="I57" s="107"/>
      <c r="J57" s="107"/>
      <c r="K57" s="107"/>
      <c r="L57" s="107"/>
      <c r="M57" s="107"/>
      <c r="N57" s="107"/>
      <c r="O57" s="107"/>
      <c r="P57" s="107"/>
      <c r="Q57" s="107"/>
      <c r="R57" s="107"/>
      <c r="S57" s="107"/>
    </row>
    <row r="58" spans="1:19" s="6" customFormat="1" ht="20.100000000000001" customHeight="1" x14ac:dyDescent="0.2">
      <c r="A58" s="66" t="s">
        <v>52</v>
      </c>
      <c r="B58" s="50" t="s">
        <v>15</v>
      </c>
      <c r="C58" s="51" t="s">
        <v>153</v>
      </c>
      <c r="D58" s="90">
        <f>1/3</f>
        <v>0.33333333333333331</v>
      </c>
      <c r="E58" s="52" t="s">
        <v>209</v>
      </c>
      <c r="F58" s="33"/>
      <c r="G58" s="53" t="str">
        <f>IF(F58="","",F58*D58)</f>
        <v/>
      </c>
      <c r="H58" s="7"/>
      <c r="I58" s="107" t="s">
        <v>268</v>
      </c>
      <c r="J58" s="107"/>
      <c r="K58" s="107"/>
      <c r="L58" s="107"/>
      <c r="M58" s="107"/>
      <c r="N58" s="107"/>
      <c r="O58" s="107"/>
      <c r="P58" s="107"/>
      <c r="Q58" s="107"/>
      <c r="R58" s="107"/>
      <c r="S58" s="107"/>
    </row>
    <row r="59" spans="1:19" s="6" customFormat="1" ht="20.100000000000001" customHeight="1" thickBot="1" x14ac:dyDescent="0.25">
      <c r="A59" s="76" t="s">
        <v>53</v>
      </c>
      <c r="B59" s="77" t="s">
        <v>54</v>
      </c>
      <c r="C59" s="78" t="s">
        <v>154</v>
      </c>
      <c r="D59" s="92">
        <f>1/6</f>
        <v>0.16666666666666666</v>
      </c>
      <c r="E59" s="79" t="s">
        <v>210</v>
      </c>
      <c r="F59" s="30"/>
      <c r="G59" s="53" t="str">
        <f>IF(F59="","",F59*D59)</f>
        <v/>
      </c>
      <c r="H59" s="7"/>
      <c r="I59" s="124">
        <f>ROUND(SUM(G31,G33:G36,G38:G40,G42:G46,G48:G49,G51:G53,G55,G58:G59),0)</f>
        <v>0</v>
      </c>
      <c r="J59" s="107"/>
      <c r="K59" s="107"/>
      <c r="L59" s="107"/>
      <c r="M59" s="107"/>
      <c r="N59" s="107"/>
      <c r="O59" s="107"/>
      <c r="P59" s="107"/>
      <c r="Q59" s="107"/>
      <c r="R59" s="107"/>
      <c r="S59" s="107"/>
    </row>
    <row r="60" spans="1:19" s="6" customFormat="1" ht="39.950000000000003" customHeight="1" thickBot="1" x14ac:dyDescent="0.25">
      <c r="A60" s="170" t="s">
        <v>98</v>
      </c>
      <c r="B60" s="171"/>
      <c r="C60" s="171"/>
      <c r="D60" s="171"/>
      <c r="E60" s="171"/>
      <c r="F60" s="172"/>
      <c r="G60" s="80">
        <f>SUM($G$6:$G$59)</f>
        <v>0</v>
      </c>
      <c r="H60" s="7"/>
      <c r="I60" s="107"/>
      <c r="J60" s="107"/>
      <c r="K60" s="107"/>
      <c r="L60" s="107"/>
      <c r="M60" s="107"/>
      <c r="N60" s="107"/>
      <c r="O60" s="107"/>
      <c r="P60" s="107"/>
      <c r="Q60" s="107"/>
      <c r="R60" s="107"/>
      <c r="S60" s="107"/>
    </row>
    <row r="61" spans="1:19" s="6" customFormat="1" ht="39.950000000000003" customHeight="1" thickBot="1" x14ac:dyDescent="0.25">
      <c r="A61" s="170" t="s">
        <v>264</v>
      </c>
      <c r="B61" s="171"/>
      <c r="C61" s="171"/>
      <c r="D61" s="171"/>
      <c r="E61" s="171"/>
      <c r="F61" s="172"/>
      <c r="G61" s="80">
        <f>IF(G60=SUM(G8:G11),0,IF((G60-SUM(G8:G11))&gt;=5,ROUNDUP((G60-SUM(G8:G11))/20,0),0))</f>
        <v>0</v>
      </c>
      <c r="H61" s="7"/>
      <c r="I61" s="123" t="str">
        <f>IF(F48="","","ACHTUNG:" &amp; CHAR(10) &amp; "separate Regeln für Veranstaltungsstätten")</f>
        <v/>
      </c>
      <c r="J61" s="107"/>
      <c r="K61" s="107"/>
      <c r="L61" s="107"/>
      <c r="M61" s="107"/>
      <c r="N61" s="107"/>
      <c r="O61" s="107"/>
      <c r="P61" s="107"/>
      <c r="Q61" s="107"/>
      <c r="R61" s="107"/>
      <c r="S61" s="107"/>
    </row>
    <row r="62" spans="1:19" s="6" customFormat="1" ht="39.950000000000003" customHeight="1" thickBot="1" x14ac:dyDescent="0.25">
      <c r="A62" s="173" t="s">
        <v>271</v>
      </c>
      <c r="B62" s="171"/>
      <c r="C62" s="171"/>
      <c r="D62" s="171"/>
      <c r="E62" s="171"/>
      <c r="F62" s="172"/>
      <c r="G62" s="80">
        <f>IF(SUM(G13:G16)*0.13=0,0,SUM(G13:G16)*0.13)</f>
        <v>0</v>
      </c>
      <c r="H62" s="7"/>
      <c r="I62" s="123"/>
      <c r="J62" s="107"/>
      <c r="K62" s="107"/>
      <c r="L62" s="107"/>
      <c r="M62" s="107"/>
      <c r="N62" s="107"/>
      <c r="O62" s="107"/>
      <c r="P62" s="107"/>
      <c r="Q62" s="107"/>
      <c r="R62" s="107"/>
      <c r="S62" s="107"/>
    </row>
    <row r="63" spans="1:19" s="6" customFormat="1" ht="39.950000000000003" customHeight="1" thickBot="1" x14ac:dyDescent="0.25">
      <c r="A63" s="174" t="s">
        <v>266</v>
      </c>
      <c r="B63" s="175"/>
      <c r="C63" s="170" t="s">
        <v>262</v>
      </c>
      <c r="D63" s="171"/>
      <c r="E63" s="171"/>
      <c r="F63" s="172"/>
      <c r="G63" s="80">
        <f>IF(I59&gt;10,1,0)</f>
        <v>0</v>
      </c>
      <c r="H63" s="7"/>
      <c r="I63" s="182" t="s">
        <v>267</v>
      </c>
      <c r="J63" s="107"/>
      <c r="K63" s="107"/>
      <c r="L63" s="107"/>
      <c r="M63" s="107"/>
      <c r="N63" s="107"/>
      <c r="O63" s="107"/>
      <c r="P63" s="107"/>
      <c r="Q63" s="107"/>
      <c r="R63" s="107"/>
      <c r="S63" s="107"/>
    </row>
    <row r="64" spans="1:19" s="6" customFormat="1" ht="39.950000000000003" customHeight="1" thickBot="1" x14ac:dyDescent="0.25">
      <c r="A64" s="176"/>
      <c r="B64" s="177"/>
      <c r="C64" s="173" t="s">
        <v>263</v>
      </c>
      <c r="D64" s="171"/>
      <c r="E64" s="171"/>
      <c r="F64" s="172"/>
      <c r="G64" s="80">
        <f>IF(I29&gt;10,I29,0)+IF(I59&gt;10,ROUNDUP(I59/5,0),0)</f>
        <v>0</v>
      </c>
      <c r="H64" s="7"/>
      <c r="I64" s="182"/>
      <c r="J64" s="107"/>
      <c r="K64" s="107"/>
      <c r="L64" s="107"/>
      <c r="M64" s="107"/>
      <c r="N64" s="107"/>
      <c r="O64" s="107"/>
      <c r="P64" s="107"/>
      <c r="Q64" s="107"/>
      <c r="R64" s="107"/>
      <c r="S64" s="107"/>
    </row>
    <row r="65" spans="1:19" s="6" customFormat="1" ht="20.100000000000001" customHeight="1" x14ac:dyDescent="0.2">
      <c r="A65" s="98"/>
      <c r="B65" s="98"/>
      <c r="C65" s="98"/>
      <c r="D65" s="98"/>
      <c r="E65" s="98"/>
      <c r="F65" s="98"/>
      <c r="G65" s="99"/>
      <c r="H65" s="7"/>
      <c r="I65" s="122"/>
      <c r="J65" s="107"/>
      <c r="K65" s="107"/>
      <c r="L65" s="107"/>
      <c r="M65" s="107"/>
      <c r="N65" s="107"/>
      <c r="O65" s="107"/>
      <c r="P65" s="107"/>
      <c r="Q65" s="107"/>
      <c r="R65" s="107"/>
      <c r="S65" s="107"/>
    </row>
    <row r="66" spans="1:19" s="6" customFormat="1" ht="20.100000000000001" customHeight="1" x14ac:dyDescent="0.2">
      <c r="C66" s="100" t="s">
        <v>247</v>
      </c>
      <c r="D66" s="10"/>
      <c r="E66" s="11"/>
      <c r="F66" s="11"/>
      <c r="H66" s="7"/>
      <c r="I66" s="107"/>
      <c r="J66" s="107"/>
      <c r="K66" s="107"/>
      <c r="L66" s="107"/>
      <c r="M66" s="107"/>
      <c r="N66" s="107"/>
      <c r="O66" s="107"/>
      <c r="P66" s="107"/>
      <c r="Q66" s="107"/>
      <c r="R66" s="107"/>
      <c r="S66" s="107"/>
    </row>
    <row r="67" spans="1:19" s="6" customFormat="1" ht="20.100000000000001" customHeight="1" x14ac:dyDescent="0.2">
      <c r="A67" s="181" t="s">
        <v>84</v>
      </c>
      <c r="B67" s="181"/>
      <c r="C67" s="181"/>
      <c r="D67" s="181"/>
      <c r="E67" s="181"/>
      <c r="F67" s="181"/>
      <c r="G67" s="181"/>
      <c r="I67" s="110"/>
      <c r="J67" s="110"/>
      <c r="K67" s="110"/>
      <c r="L67" s="110"/>
      <c r="M67" s="110"/>
      <c r="N67" s="107"/>
      <c r="O67" s="107"/>
      <c r="P67" s="107"/>
      <c r="Q67" s="107"/>
      <c r="R67" s="107"/>
      <c r="S67" s="107"/>
    </row>
    <row r="68" spans="1:19" s="6" customFormat="1" ht="20.100000000000001" customHeight="1" x14ac:dyDescent="0.2">
      <c r="A68" s="12" t="s">
        <v>66</v>
      </c>
      <c r="B68" s="13"/>
      <c r="C68" s="13"/>
      <c r="D68" s="14"/>
      <c r="E68" s="13"/>
      <c r="F68" s="12"/>
      <c r="G68" s="12"/>
      <c r="H68" s="9"/>
      <c r="I68" s="110"/>
      <c r="J68" s="110"/>
      <c r="K68" s="110"/>
      <c r="L68" s="107"/>
      <c r="M68" s="107"/>
      <c r="N68" s="107"/>
      <c r="O68" s="110"/>
      <c r="P68" s="110"/>
      <c r="Q68" s="107"/>
      <c r="R68" s="107"/>
      <c r="S68" s="107"/>
    </row>
    <row r="69" spans="1:19" s="6" customFormat="1" ht="20.100000000000001" customHeight="1" x14ac:dyDescent="0.2">
      <c r="A69" s="15" t="s">
        <v>67</v>
      </c>
      <c r="B69" s="15" t="s">
        <v>85</v>
      </c>
      <c r="C69" s="178" t="s">
        <v>265</v>
      </c>
      <c r="D69" s="178"/>
      <c r="E69" s="178"/>
      <c r="F69" s="178"/>
      <c r="G69" s="12"/>
      <c r="H69" s="11"/>
      <c r="I69" s="110"/>
      <c r="J69" s="110"/>
      <c r="K69" s="110"/>
      <c r="L69" s="107"/>
      <c r="M69" s="107"/>
      <c r="N69" s="107"/>
      <c r="O69" s="110"/>
      <c r="P69" s="110"/>
      <c r="Q69" s="107"/>
      <c r="R69" s="107"/>
      <c r="S69" s="107"/>
    </row>
    <row r="70" spans="1:19" s="6" customFormat="1" ht="20.100000000000001" customHeight="1" x14ac:dyDescent="0.2">
      <c r="A70" s="17" t="s">
        <v>68</v>
      </c>
      <c r="B70" s="15" t="s">
        <v>86</v>
      </c>
      <c r="C70" s="178"/>
      <c r="D70" s="178"/>
      <c r="E70" s="178"/>
      <c r="F70" s="178"/>
      <c r="G70" s="12"/>
      <c r="H70" s="11"/>
      <c r="I70" s="110"/>
      <c r="J70" s="110"/>
      <c r="K70" s="110"/>
      <c r="L70" s="107"/>
      <c r="M70" s="107"/>
      <c r="N70" s="107"/>
      <c r="O70" s="110"/>
      <c r="P70" s="110"/>
      <c r="Q70" s="107"/>
      <c r="R70" s="107"/>
      <c r="S70" s="107"/>
    </row>
    <row r="71" spans="1:19" s="6" customFormat="1" ht="20.100000000000001" customHeight="1" x14ac:dyDescent="0.2">
      <c r="A71" s="15" t="s">
        <v>69</v>
      </c>
      <c r="B71" s="15" t="s">
        <v>87</v>
      </c>
      <c r="C71" s="178"/>
      <c r="D71" s="178"/>
      <c r="E71" s="178"/>
      <c r="F71" s="178"/>
      <c r="G71" s="12"/>
      <c r="H71" s="11"/>
      <c r="I71" s="110"/>
      <c r="J71" s="110"/>
      <c r="K71" s="110"/>
      <c r="L71" s="107"/>
      <c r="M71" s="107"/>
      <c r="N71" s="107"/>
      <c r="O71" s="110"/>
      <c r="P71" s="110"/>
      <c r="Q71" s="107"/>
      <c r="R71" s="107"/>
      <c r="S71" s="107"/>
    </row>
    <row r="72" spans="1:19" s="6" customFormat="1" ht="20.100000000000001" customHeight="1" x14ac:dyDescent="0.2">
      <c r="A72" s="15" t="s">
        <v>70</v>
      </c>
      <c r="B72" s="15" t="s">
        <v>88</v>
      </c>
      <c r="C72" s="178" t="s">
        <v>273</v>
      </c>
      <c r="D72" s="178"/>
      <c r="E72" s="178"/>
      <c r="F72" s="178"/>
      <c r="G72" s="12"/>
      <c r="H72" s="11"/>
      <c r="I72" s="110"/>
      <c r="J72" s="110"/>
      <c r="K72" s="110"/>
      <c r="L72" s="107"/>
      <c r="M72" s="107"/>
      <c r="N72" s="107"/>
      <c r="O72" s="110"/>
      <c r="P72" s="110"/>
      <c r="Q72" s="107"/>
      <c r="R72" s="107"/>
      <c r="S72" s="107"/>
    </row>
    <row r="73" spans="1:19" s="6" customFormat="1" ht="20.100000000000001" customHeight="1" x14ac:dyDescent="0.2">
      <c r="A73" s="15" t="s">
        <v>71</v>
      </c>
      <c r="B73" s="15" t="s">
        <v>89</v>
      </c>
      <c r="C73" s="178"/>
      <c r="D73" s="178"/>
      <c r="E73" s="178"/>
      <c r="F73" s="178"/>
      <c r="G73" s="12"/>
      <c r="H73" s="11"/>
      <c r="I73" s="110"/>
      <c r="J73" s="110"/>
      <c r="K73" s="110"/>
      <c r="L73" s="107"/>
      <c r="M73" s="107"/>
      <c r="N73" s="107"/>
      <c r="O73" s="110"/>
      <c r="P73" s="110"/>
      <c r="Q73" s="107"/>
      <c r="R73" s="107"/>
      <c r="S73" s="107"/>
    </row>
    <row r="74" spans="1:19" s="6" customFormat="1" ht="20.100000000000001" customHeight="1" x14ac:dyDescent="0.2">
      <c r="A74" s="15" t="s">
        <v>72</v>
      </c>
      <c r="B74" s="15" t="s">
        <v>90</v>
      </c>
      <c r="C74" s="178"/>
      <c r="D74" s="178"/>
      <c r="E74" s="178"/>
      <c r="F74" s="178"/>
      <c r="G74" s="12"/>
      <c r="H74" s="11"/>
      <c r="I74" s="110"/>
      <c r="J74" s="110"/>
      <c r="K74" s="110"/>
      <c r="L74" s="107"/>
      <c r="M74" s="107"/>
      <c r="N74" s="107"/>
      <c r="O74" s="110"/>
      <c r="P74" s="110"/>
      <c r="Q74" s="107"/>
      <c r="R74" s="107"/>
      <c r="S74" s="107"/>
    </row>
    <row r="75" spans="1:19" s="6" customFormat="1" ht="20.100000000000001" customHeight="1" x14ac:dyDescent="0.2">
      <c r="A75" s="15" t="s">
        <v>73</v>
      </c>
      <c r="B75" s="15" t="s">
        <v>91</v>
      </c>
      <c r="C75" s="179" t="s">
        <v>272</v>
      </c>
      <c r="D75" s="179"/>
      <c r="E75" s="179"/>
      <c r="G75" s="12"/>
      <c r="H75" s="11"/>
      <c r="I75" s="110"/>
      <c r="J75" s="110"/>
      <c r="K75" s="110"/>
      <c r="L75" s="107"/>
      <c r="M75" s="107"/>
      <c r="N75" s="107"/>
      <c r="O75" s="110"/>
      <c r="P75" s="110"/>
      <c r="Q75" s="107"/>
      <c r="R75" s="107"/>
      <c r="S75" s="107"/>
    </row>
    <row r="76" spans="1:19" s="6" customFormat="1" ht="20.100000000000001" customHeight="1" x14ac:dyDescent="0.2">
      <c r="A76" s="15" t="s">
        <v>74</v>
      </c>
      <c r="B76" s="15" t="s">
        <v>92</v>
      </c>
      <c r="C76" s="179"/>
      <c r="D76" s="179"/>
      <c r="E76" s="179"/>
      <c r="G76" s="12"/>
      <c r="H76" s="11"/>
      <c r="I76" s="111"/>
      <c r="J76" s="111"/>
      <c r="K76" s="111"/>
      <c r="L76" s="107"/>
      <c r="M76" s="107"/>
      <c r="N76" s="107"/>
      <c r="O76" s="110"/>
      <c r="P76" s="110"/>
      <c r="Q76" s="107"/>
      <c r="R76" s="107"/>
      <c r="S76" s="107"/>
    </row>
    <row r="77" spans="1:19" s="6" customFormat="1" ht="20.100000000000001" customHeight="1" x14ac:dyDescent="0.2">
      <c r="A77" s="15" t="s">
        <v>75</v>
      </c>
      <c r="B77" s="15" t="s">
        <v>93</v>
      </c>
      <c r="G77" s="15"/>
      <c r="H77" s="11"/>
      <c r="I77" s="111"/>
      <c r="J77" s="111"/>
      <c r="K77" s="111"/>
      <c r="L77" s="107"/>
      <c r="M77" s="107"/>
      <c r="N77" s="107"/>
      <c r="O77" s="111"/>
      <c r="P77" s="111"/>
      <c r="Q77" s="107"/>
      <c r="R77" s="107"/>
      <c r="S77" s="107"/>
    </row>
    <row r="78" spans="1:19" s="6" customFormat="1" ht="20.100000000000001" customHeight="1" x14ac:dyDescent="0.2">
      <c r="A78" s="104" t="s">
        <v>76</v>
      </c>
      <c r="B78" s="104" t="s">
        <v>253</v>
      </c>
      <c r="C78" s="105"/>
      <c r="D78" s="106"/>
      <c r="E78" s="105"/>
      <c r="F78" s="104"/>
      <c r="G78" s="104"/>
      <c r="H78" s="11"/>
      <c r="I78" s="111"/>
      <c r="J78" s="111"/>
      <c r="K78" s="111"/>
      <c r="L78" s="107"/>
      <c r="M78" s="107"/>
      <c r="N78" s="107"/>
      <c r="O78" s="111"/>
      <c r="P78" s="111"/>
      <c r="Q78" s="107"/>
      <c r="R78" s="107"/>
      <c r="S78" s="107"/>
    </row>
    <row r="79" spans="1:19" s="6" customFormat="1" ht="20.100000000000001" customHeight="1" x14ac:dyDescent="0.2">
      <c r="A79" s="104" t="s">
        <v>77</v>
      </c>
      <c r="B79" s="104" t="s">
        <v>94</v>
      </c>
      <c r="G79" s="104"/>
      <c r="H79" s="97"/>
      <c r="I79" s="111"/>
      <c r="J79" s="111"/>
      <c r="K79" s="111"/>
      <c r="L79" s="107"/>
      <c r="M79" s="107"/>
      <c r="N79" s="107"/>
      <c r="O79" s="111"/>
      <c r="P79" s="111"/>
      <c r="Q79" s="107"/>
      <c r="R79" s="107"/>
      <c r="S79" s="107"/>
    </row>
    <row r="80" spans="1:19" s="6" customFormat="1" ht="20.100000000000001" customHeight="1" x14ac:dyDescent="0.2">
      <c r="A80" s="104" t="s">
        <v>78</v>
      </c>
      <c r="B80" s="104" t="s">
        <v>249</v>
      </c>
      <c r="G80" s="104"/>
      <c r="H80" s="97"/>
      <c r="I80" s="111"/>
      <c r="J80" s="111"/>
      <c r="K80" s="111"/>
      <c r="L80" s="107"/>
      <c r="M80" s="107"/>
      <c r="N80" s="107"/>
      <c r="O80" s="111"/>
      <c r="P80" s="111"/>
      <c r="Q80" s="107"/>
      <c r="R80" s="107"/>
      <c r="S80" s="107"/>
    </row>
    <row r="81" spans="1:28" s="6" customFormat="1" ht="20.100000000000001" customHeight="1" x14ac:dyDescent="0.2">
      <c r="A81" s="104" t="s">
        <v>79</v>
      </c>
      <c r="B81" s="104" t="s">
        <v>95</v>
      </c>
      <c r="G81" s="104"/>
      <c r="H81" s="97"/>
      <c r="I81" s="111"/>
      <c r="J81" s="111"/>
      <c r="K81" s="111"/>
      <c r="L81" s="107"/>
      <c r="M81" s="107"/>
      <c r="N81" s="107"/>
      <c r="O81" s="111"/>
      <c r="P81" s="111"/>
      <c r="Q81" s="107"/>
      <c r="R81" s="107"/>
      <c r="S81" s="107"/>
    </row>
    <row r="82" spans="1:28" s="6" customFormat="1" ht="20.100000000000001" customHeight="1" x14ac:dyDescent="0.2">
      <c r="A82" s="104" t="s">
        <v>80</v>
      </c>
      <c r="B82" s="104" t="s">
        <v>96</v>
      </c>
      <c r="C82" s="105"/>
      <c r="D82" s="106"/>
      <c r="E82" s="105"/>
      <c r="F82" s="104"/>
      <c r="G82" s="104"/>
      <c r="H82" s="97"/>
      <c r="I82" s="112"/>
      <c r="J82" s="111"/>
      <c r="K82" s="111"/>
      <c r="L82" s="107"/>
      <c r="M82" s="107"/>
      <c r="N82" s="107"/>
      <c r="O82" s="111"/>
      <c r="P82" s="111"/>
      <c r="Q82" s="107"/>
      <c r="R82" s="107"/>
      <c r="S82" s="107"/>
    </row>
    <row r="83" spans="1:28" s="6" customFormat="1" ht="20.100000000000001" customHeight="1" x14ac:dyDescent="0.2">
      <c r="A83" s="104" t="s">
        <v>81</v>
      </c>
      <c r="B83" s="104" t="s">
        <v>97</v>
      </c>
      <c r="C83" s="105"/>
      <c r="D83" s="106"/>
      <c r="E83" s="105"/>
      <c r="F83" s="104"/>
      <c r="G83" s="104"/>
      <c r="H83" s="97"/>
      <c r="I83" s="111"/>
      <c r="J83" s="111"/>
      <c r="K83" s="111"/>
      <c r="L83" s="107"/>
      <c r="M83" s="107"/>
      <c r="N83" s="107"/>
      <c r="O83" s="111"/>
      <c r="P83" s="111"/>
      <c r="Q83" s="107"/>
      <c r="R83" s="107"/>
      <c r="S83" s="107"/>
    </row>
    <row r="84" spans="1:28" s="6" customFormat="1" ht="20.100000000000001" customHeight="1" x14ac:dyDescent="0.2">
      <c r="A84" s="104" t="s">
        <v>82</v>
      </c>
      <c r="B84" s="104" t="s">
        <v>254</v>
      </c>
      <c r="C84" s="105"/>
      <c r="D84" s="106"/>
      <c r="E84" s="105"/>
      <c r="F84" s="104"/>
      <c r="G84" s="104"/>
      <c r="H84" s="97"/>
      <c r="I84" s="104"/>
      <c r="J84" s="111"/>
      <c r="K84" s="111"/>
      <c r="L84" s="107"/>
      <c r="M84" s="107"/>
      <c r="N84" s="107"/>
      <c r="O84" s="111"/>
      <c r="P84" s="111"/>
      <c r="Q84" s="107"/>
      <c r="R84" s="107"/>
      <c r="S84" s="107"/>
    </row>
    <row r="85" spans="1:28" s="6" customFormat="1" ht="20.100000000000001" customHeight="1" x14ac:dyDescent="0.2">
      <c r="A85" s="104" t="s">
        <v>83</v>
      </c>
      <c r="B85" s="104" t="s">
        <v>270</v>
      </c>
      <c r="C85" s="105"/>
      <c r="D85" s="105"/>
      <c r="E85" s="106"/>
      <c r="F85" s="104"/>
      <c r="G85" s="106"/>
      <c r="H85" s="97"/>
      <c r="I85" s="111"/>
      <c r="J85" s="111"/>
      <c r="K85" s="111"/>
      <c r="L85" s="107"/>
      <c r="M85" s="107"/>
      <c r="N85" s="107"/>
      <c r="O85" s="111"/>
      <c r="P85" s="111"/>
      <c r="Q85" s="107"/>
      <c r="R85" s="107"/>
      <c r="S85" s="107"/>
    </row>
    <row r="86" spans="1:28" s="6" customFormat="1" ht="14.25" customHeight="1" x14ac:dyDescent="0.2">
      <c r="A86" s="107"/>
      <c r="B86" s="107"/>
      <c r="C86" s="107"/>
      <c r="D86" s="107"/>
      <c r="E86" s="107"/>
      <c r="F86" s="107"/>
      <c r="G86" s="107"/>
      <c r="H86" s="97"/>
      <c r="I86" s="107"/>
      <c r="J86" s="107"/>
      <c r="K86" s="107"/>
      <c r="L86" s="107"/>
      <c r="M86" s="107"/>
      <c r="N86" s="107"/>
      <c r="O86" s="113"/>
      <c r="P86" s="113"/>
      <c r="Q86" s="113"/>
      <c r="R86" s="113"/>
      <c r="S86" s="113"/>
      <c r="T86" s="10"/>
      <c r="U86" s="10"/>
      <c r="V86" s="10"/>
      <c r="W86" s="10"/>
      <c r="X86" s="10"/>
      <c r="Y86" s="10"/>
      <c r="Z86" s="10"/>
      <c r="AA86" s="10"/>
      <c r="AB86" s="10"/>
    </row>
    <row r="87" spans="1:28" s="6" customFormat="1" ht="32.25" customHeight="1" x14ac:dyDescent="0.2">
      <c r="A87" s="161" t="s">
        <v>255</v>
      </c>
      <c r="B87" s="161"/>
      <c r="C87" s="161"/>
      <c r="D87" s="161"/>
      <c r="E87" s="161"/>
      <c r="F87" s="161"/>
      <c r="G87" s="161"/>
      <c r="I87" s="107"/>
      <c r="J87" s="107"/>
      <c r="K87" s="107"/>
      <c r="L87" s="107"/>
      <c r="M87" s="107"/>
      <c r="N87" s="107"/>
      <c r="O87" s="107"/>
      <c r="P87" s="107"/>
      <c r="Q87" s="107"/>
      <c r="R87" s="107"/>
      <c r="S87" s="107"/>
    </row>
    <row r="88" spans="1:28" s="6" customFormat="1" ht="20.100000000000001" customHeight="1" x14ac:dyDescent="0.2">
      <c r="A88" s="101"/>
      <c r="B88" s="101"/>
      <c r="C88" s="101"/>
      <c r="D88" s="101"/>
      <c r="E88" s="101"/>
      <c r="F88" s="101"/>
      <c r="G88" s="101"/>
      <c r="I88" s="107"/>
      <c r="J88" s="107"/>
      <c r="K88" s="107"/>
      <c r="L88" s="107"/>
      <c r="M88" s="107"/>
      <c r="N88" s="107"/>
      <c r="O88" s="107"/>
      <c r="P88" s="107"/>
      <c r="Q88" s="107"/>
      <c r="R88" s="107"/>
      <c r="S88" s="107"/>
    </row>
    <row r="89" spans="1:28" s="6" customFormat="1" ht="20.100000000000001" customHeight="1" x14ac:dyDescent="0.2">
      <c r="B89" s="19"/>
      <c r="C89" s="20"/>
      <c r="D89" s="19"/>
      <c r="E89" s="19"/>
      <c r="F89" s="19"/>
      <c r="G89" s="20"/>
      <c r="I89" s="107"/>
      <c r="J89" s="107"/>
      <c r="K89" s="107"/>
      <c r="L89" s="107"/>
      <c r="M89" s="107"/>
      <c r="N89" s="107"/>
      <c r="O89" s="107"/>
      <c r="P89" s="107"/>
      <c r="Q89" s="107"/>
      <c r="R89" s="107"/>
      <c r="S89" s="107"/>
    </row>
    <row r="90" spans="1:28" s="6" customFormat="1" ht="20.100000000000001" customHeight="1" x14ac:dyDescent="0.2">
      <c r="B90" s="23"/>
      <c r="C90" s="24"/>
      <c r="D90" s="9"/>
      <c r="E90" s="17"/>
      <c r="F90" s="25"/>
      <c r="G90" s="9"/>
      <c r="I90" s="107"/>
      <c r="J90" s="107"/>
      <c r="K90" s="107"/>
      <c r="L90" s="107"/>
      <c r="M90" s="107"/>
      <c r="N90" s="107"/>
      <c r="O90" s="107"/>
      <c r="P90" s="107"/>
      <c r="Q90" s="107"/>
      <c r="R90" s="107"/>
      <c r="S90" s="107"/>
    </row>
    <row r="91" spans="1:28" s="6" customFormat="1" ht="20.100000000000001" customHeight="1" x14ac:dyDescent="0.2">
      <c r="B91" s="23"/>
      <c r="C91" s="24"/>
      <c r="D91" s="9"/>
      <c r="E91" s="17"/>
      <c r="F91" s="25"/>
      <c r="G91" s="9"/>
      <c r="H91" s="20"/>
      <c r="I91" s="114"/>
      <c r="J91" s="115"/>
      <c r="K91" s="115"/>
      <c r="L91" s="115"/>
      <c r="M91" s="115"/>
      <c r="N91" s="116"/>
      <c r="O91" s="116"/>
      <c r="P91" s="116"/>
      <c r="Q91" s="116"/>
      <c r="R91" s="107"/>
      <c r="S91" s="107"/>
    </row>
    <row r="92" spans="1:28" s="6" customFormat="1" ht="20.100000000000001" customHeight="1" x14ac:dyDescent="0.2">
      <c r="B92" s="23"/>
      <c r="C92" s="24"/>
      <c r="D92" s="9"/>
      <c r="E92" s="17"/>
      <c r="F92" s="25"/>
      <c r="G92" s="9"/>
      <c r="H92" s="9"/>
      <c r="I92" s="107"/>
      <c r="J92" s="107"/>
      <c r="K92" s="107"/>
      <c r="L92" s="107"/>
      <c r="M92" s="107"/>
      <c r="N92" s="107"/>
      <c r="O92" s="107"/>
      <c r="P92" s="107"/>
      <c r="Q92" s="107"/>
      <c r="R92" s="107"/>
      <c r="S92" s="107"/>
    </row>
    <row r="93" spans="1:28" s="6" customFormat="1" ht="20.100000000000001" customHeight="1" x14ac:dyDescent="0.2">
      <c r="B93" s="23"/>
      <c r="C93" s="24"/>
      <c r="D93" s="9"/>
      <c r="E93" s="17"/>
      <c r="F93" s="25"/>
      <c r="G93" s="9"/>
      <c r="H93" s="9"/>
      <c r="I93" s="107"/>
      <c r="J93" s="107"/>
      <c r="K93" s="107"/>
      <c r="L93" s="107"/>
      <c r="M93" s="107"/>
      <c r="N93" s="107"/>
      <c r="O93" s="107"/>
      <c r="P93" s="107"/>
      <c r="Q93" s="107"/>
      <c r="R93" s="107"/>
      <c r="S93" s="107"/>
    </row>
    <row r="94" spans="1:28" s="6" customFormat="1" ht="20.100000000000001" customHeight="1" x14ac:dyDescent="0.2">
      <c r="A94" s="3"/>
      <c r="B94" s="26"/>
      <c r="C94" s="24"/>
      <c r="D94" s="27"/>
      <c r="E94" s="28"/>
      <c r="F94" s="25"/>
      <c r="G94" s="27"/>
      <c r="H94" s="9"/>
      <c r="I94" s="107"/>
      <c r="J94" s="107"/>
      <c r="K94" s="107"/>
      <c r="L94" s="107"/>
      <c r="M94" s="107"/>
      <c r="N94" s="107"/>
      <c r="O94" s="107"/>
      <c r="P94" s="107"/>
      <c r="Q94" s="107"/>
      <c r="R94" s="107"/>
      <c r="S94" s="107"/>
    </row>
    <row r="95" spans="1:28" s="6" customFormat="1" ht="20.100000000000001" customHeight="1" x14ac:dyDescent="0.2">
      <c r="A95" s="3"/>
      <c r="B95" s="26"/>
      <c r="C95" s="24"/>
      <c r="D95" s="27"/>
      <c r="E95" s="28"/>
      <c r="F95" s="25"/>
      <c r="G95" s="27"/>
      <c r="H95" s="9"/>
      <c r="I95" s="107"/>
      <c r="J95" s="107"/>
      <c r="K95" s="107"/>
      <c r="L95" s="107"/>
      <c r="M95" s="107"/>
      <c r="N95" s="107"/>
      <c r="O95" s="107"/>
      <c r="P95" s="107"/>
      <c r="Q95" s="107"/>
      <c r="R95" s="107"/>
      <c r="S95" s="107"/>
    </row>
  </sheetData>
  <sheetProtection password="DD2A" sheet="1" selectLockedCells="1"/>
  <mergeCells count="43">
    <mergeCell ref="C75:E76"/>
    <mergeCell ref="C72:F74"/>
    <mergeCell ref="I8:I11"/>
    <mergeCell ref="I13:I16"/>
    <mergeCell ref="A67:G67"/>
    <mergeCell ref="I19:I22"/>
    <mergeCell ref="I24:I27"/>
    <mergeCell ref="B37:G37"/>
    <mergeCell ref="B41:G41"/>
    <mergeCell ref="B32:G32"/>
    <mergeCell ref="B30:G30"/>
    <mergeCell ref="I63:I64"/>
    <mergeCell ref="A87:G87"/>
    <mergeCell ref="A42:A43"/>
    <mergeCell ref="C42:C43"/>
    <mergeCell ref="B42:B43"/>
    <mergeCell ref="G42:G43"/>
    <mergeCell ref="A60:F60"/>
    <mergeCell ref="B56:G56"/>
    <mergeCell ref="B54:G54"/>
    <mergeCell ref="A61:F61"/>
    <mergeCell ref="C63:F63"/>
    <mergeCell ref="C64:F64"/>
    <mergeCell ref="A63:B64"/>
    <mergeCell ref="A62:F62"/>
    <mergeCell ref="C69:F71"/>
    <mergeCell ref="B50:G50"/>
    <mergeCell ref="B47:G47"/>
    <mergeCell ref="B7:G7"/>
    <mergeCell ref="B12:G12"/>
    <mergeCell ref="B23:G23"/>
    <mergeCell ref="B17:G17"/>
    <mergeCell ref="B18:G18"/>
    <mergeCell ref="A1:G1"/>
    <mergeCell ref="A3:B3"/>
    <mergeCell ref="A2:B2"/>
    <mergeCell ref="E2:G2"/>
    <mergeCell ref="E3:G3"/>
    <mergeCell ref="D4:D5"/>
    <mergeCell ref="E4:F4"/>
    <mergeCell ref="G4:G5"/>
    <mergeCell ref="C4:C5"/>
    <mergeCell ref="B6:G6"/>
  </mergeCells>
  <conditionalFormatting sqref="G8:G11">
    <cfRule type="notContainsText" dxfId="170" priority="54" operator="notContains" text="Eingabe bei Pkt. 1.2">
      <formula>ISERROR(SEARCH("Eingabe bei Pkt. 1.2",G8))</formula>
    </cfRule>
    <cfRule type="cellIs" dxfId="169" priority="52" operator="equal">
      <formula>""</formula>
    </cfRule>
    <cfRule type="containsText" dxfId="168" priority="56" operator="containsText" text="Eingabe bei Pkt. 1.2">
      <formula>NOT(ISERROR(SEARCH("Eingabe bei Pkt. 1.2",G8)))</formula>
    </cfRule>
  </conditionalFormatting>
  <conditionalFormatting sqref="G13:G16">
    <cfRule type="cellIs" dxfId="167" priority="48" operator="equal">
      <formula>""</formula>
    </cfRule>
    <cfRule type="containsText" dxfId="166" priority="50" operator="containsText" text="Eingabe bei Pkt. 1.1">
      <formula>NOT(ISERROR(SEARCH("Eingabe bei Pkt. 1.1",G13)))</formula>
    </cfRule>
    <cfRule type="notContainsText" dxfId="165" priority="49" operator="notContains" text="Eingabe bei Pkt. 1.1">
      <formula>ISERROR(SEARCH("Eingabe bei Pkt. 1.1",G13))</formula>
    </cfRule>
  </conditionalFormatting>
  <conditionalFormatting sqref="G19:G22">
    <cfRule type="containsText" dxfId="164" priority="47" operator="containsText" text="Eingabe bei Pkt. 1.3.2">
      <formula>NOT(ISERROR(SEARCH("Eingabe bei Pkt. 1.3.2",G19)))</formula>
    </cfRule>
    <cfRule type="notContainsText" dxfId="163" priority="46" operator="notContains" text="Eingabe bei Pkt. 1.3.2">
      <formula>ISERROR(SEARCH("Eingabe bei Pkt. 1.3.2",G19))</formula>
    </cfRule>
    <cfRule type="cellIs" dxfId="162" priority="45" operator="equal">
      <formula>""</formula>
    </cfRule>
  </conditionalFormatting>
  <conditionalFormatting sqref="G24:G27">
    <cfRule type="containsText" dxfId="161" priority="44" operator="containsText" text="Eingabe bei Pkt. 1.3.1">
      <formula>NOT(ISERROR(SEARCH("Eingabe bei Pkt. 1.3.1",G24)))</formula>
    </cfRule>
    <cfRule type="notContainsText" dxfId="160" priority="43" operator="notContains" text="Eingabe bei Pkt. 1.3.1">
      <formula>ISERROR(SEARCH("Eingabe bei Pkt. 1.3.1",G24))</formula>
    </cfRule>
  </conditionalFormatting>
  <conditionalFormatting sqref="G24:G29">
    <cfRule type="cellIs" dxfId="159" priority="38" operator="equal">
      <formula>""</formula>
    </cfRule>
  </conditionalFormatting>
  <conditionalFormatting sqref="G28:G29">
    <cfRule type="cellIs" dxfId="158" priority="39" operator="notEqual">
      <formula>""</formula>
    </cfRule>
  </conditionalFormatting>
  <conditionalFormatting sqref="G31">
    <cfRule type="cellIs" dxfId="157" priority="37" operator="notEqual">
      <formula>""</formula>
    </cfRule>
    <cfRule type="cellIs" dxfId="156" priority="36" operator="equal">
      <formula>""</formula>
    </cfRule>
  </conditionalFormatting>
  <conditionalFormatting sqref="G33:G36">
    <cfRule type="cellIs" dxfId="155" priority="33" operator="notEqual">
      <formula>""</formula>
    </cfRule>
    <cfRule type="cellIs" dxfId="154" priority="32" operator="equal">
      <formula>""</formula>
    </cfRule>
  </conditionalFormatting>
  <conditionalFormatting sqref="G38:G40">
    <cfRule type="cellIs" dxfId="153" priority="31" operator="notEqual">
      <formula>""</formula>
    </cfRule>
    <cfRule type="cellIs" dxfId="152" priority="30" operator="equal">
      <formula>""</formula>
    </cfRule>
  </conditionalFormatting>
  <conditionalFormatting sqref="G42:G43">
    <cfRule type="cellIs" dxfId="151" priority="29" operator="notEqual">
      <formula>""</formula>
    </cfRule>
    <cfRule type="cellIs" dxfId="150" priority="28" operator="equal">
      <formula>""</formula>
    </cfRule>
  </conditionalFormatting>
  <conditionalFormatting sqref="G45:G46">
    <cfRule type="cellIs" dxfId="149" priority="27" operator="notEqual">
      <formula>""</formula>
    </cfRule>
    <cfRule type="cellIs" dxfId="148" priority="26" operator="equal">
      <formula>""</formula>
    </cfRule>
  </conditionalFormatting>
  <conditionalFormatting sqref="G48:G49">
    <cfRule type="cellIs" dxfId="147" priority="22" operator="equal">
      <formula>""</formula>
    </cfRule>
    <cfRule type="cellIs" dxfId="146" priority="23" operator="notEqual">
      <formula>""</formula>
    </cfRule>
  </conditionalFormatting>
  <conditionalFormatting sqref="G51:G53">
    <cfRule type="cellIs" dxfId="145" priority="19" operator="notEqual">
      <formula>""</formula>
    </cfRule>
    <cfRule type="cellIs" dxfId="144" priority="18" operator="equal">
      <formula>""</formula>
    </cfRule>
  </conditionalFormatting>
  <conditionalFormatting sqref="G55">
    <cfRule type="cellIs" dxfId="143" priority="16" operator="equal">
      <formula>""</formula>
    </cfRule>
    <cfRule type="cellIs" dxfId="142" priority="17" operator="notEqual">
      <formula>""</formula>
    </cfRule>
  </conditionalFormatting>
  <conditionalFormatting sqref="G58:G59">
    <cfRule type="cellIs" dxfId="141" priority="15" operator="notEqual">
      <formula>""</formula>
    </cfRule>
    <cfRule type="cellIs" dxfId="140" priority="14" operator="equal">
      <formula>""</formula>
    </cfRule>
  </conditionalFormatting>
  <conditionalFormatting sqref="G60:G65">
    <cfRule type="cellIs" dxfId="139" priority="55" operator="greaterThan">
      <formula>0</formula>
    </cfRule>
  </conditionalFormatting>
  <conditionalFormatting sqref="I8">
    <cfRule type="containsText" dxfId="138" priority="13" operator="containsText" text="Eingabe bei Pkt. 1.2">
      <formula>NOT(ISERROR(SEARCH("Eingabe bei Pkt. 1.2",I8)))</formula>
    </cfRule>
    <cfRule type="cellIs" dxfId="137" priority="11" operator="equal">
      <formula>""</formula>
    </cfRule>
  </conditionalFormatting>
  <conditionalFormatting sqref="I13">
    <cfRule type="cellIs" dxfId="136" priority="9" operator="equal">
      <formula>""</formula>
    </cfRule>
    <cfRule type="containsText" dxfId="135" priority="10" operator="containsText" text="Eingabe bei Pkt. 1.1">
      <formula>NOT(ISERROR(SEARCH("Eingabe bei Pkt. 1.1",I13)))</formula>
    </cfRule>
  </conditionalFormatting>
  <conditionalFormatting sqref="I19">
    <cfRule type="cellIs" dxfId="134" priority="3" operator="equal">
      <formula>""</formula>
    </cfRule>
    <cfRule type="containsText" dxfId="133" priority="4" operator="containsText" text="Eingabe bei Pkt. 1.3.2">
      <formula>NOT(ISERROR(SEARCH("Eingabe bei Pkt. 1.3.2",I19)))</formula>
    </cfRule>
  </conditionalFormatting>
  <conditionalFormatting sqref="I24">
    <cfRule type="cellIs" dxfId="132" priority="5" operator="equal">
      <formula>""</formula>
    </cfRule>
    <cfRule type="containsText" dxfId="131" priority="6" operator="containsText" text="Eingabe bei Pkt. 1.3.1">
      <formula>NOT(ISERROR(SEARCH("Eingabe bei Pkt. 1.3.1",I24)))</formula>
    </cfRule>
  </conditionalFormatting>
  <conditionalFormatting sqref="I61:I62">
    <cfRule type="containsText" dxfId="130" priority="2" operator="containsText" text="Eingabe bei Pkt. 1.2">
      <formula>NOT(ISERROR(SEARCH("Eingabe bei Pkt. 1.2",I61)))</formula>
    </cfRule>
    <cfRule type="cellIs" dxfId="129" priority="1" operator="equal">
      <formula>""</formula>
    </cfRule>
  </conditionalFormatting>
  <dataValidations count="1">
    <dataValidation type="whole" operator="greaterThan" allowBlank="1" showInputMessage="1" showErrorMessage="1" errorTitle="ACHTUNG" error="Anzahl muss eine GANZE ZAHL und größer 0 sein!" sqref="F57:F59 F51:F53 F31 F8:F11 F55 F19:F22 F24:F29 F33:F36 F38:F40 F42:F46 F48:F49 F13:F16" xr:uid="{00000000-0002-0000-0100-000000000000}">
      <formula1>0</formula1>
    </dataValidation>
  </dataValidations>
  <pageMargins left="0.23622047244094491" right="0.23622047244094491" top="0.74803149606299213" bottom="0.74803149606299213" header="0.31496062992125984" footer="0.31496062992125984"/>
  <pageSetup paperSize="9" scale="66" fitToHeight="0" orientation="portrait" r:id="rId1"/>
  <headerFooter>
    <oddFooter>&amp;L&amp;9&amp;D, &amp;T&amp;C&amp;9Zentrales Hauptsiedlungsgebiet&amp;R&amp;9Seite &amp;P von &amp;N
BFP V 2025-1</oddFooter>
  </headerFooter>
  <rowBreaks count="1" manualBreakCount="1">
    <brk id="40" max="6" man="1"/>
  </rowBreaks>
  <ignoredErrors>
    <ignoredError sqref="I2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4"/>
    <pageSetUpPr fitToPage="1"/>
  </sheetPr>
  <dimension ref="A1:AC97"/>
  <sheetViews>
    <sheetView showGridLines="0" zoomScale="80" zoomScaleNormal="80" zoomScalePageLayoutView="55" workbookViewId="0">
      <pane ySplit="5" topLeftCell="A6" activePane="bottomLeft" state="frozen"/>
      <selection pane="bottomLeft" activeCell="F8" sqref="F8"/>
    </sheetView>
  </sheetViews>
  <sheetFormatPr baseColWidth="10" defaultColWidth="11" defaultRowHeight="14.25" x14ac:dyDescent="0.2"/>
  <cols>
    <col min="1" max="1" width="7.625" style="3" customWidth="1"/>
    <col min="2" max="2" width="47.875" style="26" bestFit="1" customWidth="1"/>
    <col min="3" max="3" width="35.125" style="24" customWidth="1"/>
    <col min="4" max="4" width="9.125" style="27" hidden="1" customWidth="1"/>
    <col min="5" max="5" width="15.625" style="28" customWidth="1"/>
    <col min="6" max="6" width="11.625" style="25" customWidth="1"/>
    <col min="7" max="7" width="19.625" style="27" customWidth="1"/>
    <col min="8" max="8" width="11.5" style="27" customWidth="1"/>
    <col min="9" max="9" width="54.625" style="3" customWidth="1"/>
    <col min="10" max="18" width="11.5" style="3" customWidth="1"/>
    <col min="19" max="16384" width="11" style="3"/>
  </cols>
  <sheetData>
    <row r="1" spans="1:10" ht="79.5" customHeight="1" thickBot="1" x14ac:dyDescent="0.25">
      <c r="A1" s="183" t="s">
        <v>155</v>
      </c>
      <c r="B1" s="184"/>
      <c r="C1" s="184"/>
      <c r="D1" s="184"/>
      <c r="E1" s="184"/>
      <c r="F1" s="184"/>
      <c r="G1" s="185"/>
    </row>
    <row r="2" spans="1:10" ht="15" x14ac:dyDescent="0.25">
      <c r="A2" s="141" t="s">
        <v>100</v>
      </c>
      <c r="B2" s="142"/>
      <c r="C2" s="93" t="s">
        <v>101</v>
      </c>
      <c r="D2" s="94"/>
      <c r="E2" s="143" t="s">
        <v>102</v>
      </c>
      <c r="F2" s="144"/>
      <c r="G2" s="145"/>
    </row>
    <row r="3" spans="1:10" ht="39.75" customHeight="1" thickBot="1" x14ac:dyDescent="0.25">
      <c r="A3" s="139"/>
      <c r="B3" s="140"/>
      <c r="C3" s="95"/>
      <c r="D3" s="96"/>
      <c r="E3" s="139"/>
      <c r="F3" s="186"/>
      <c r="G3" s="140"/>
    </row>
    <row r="4" spans="1:10" ht="15" x14ac:dyDescent="0.2">
      <c r="A4" s="81"/>
      <c r="B4" s="82"/>
      <c r="C4" s="131" t="s">
        <v>250</v>
      </c>
      <c r="D4" s="125"/>
      <c r="E4" s="127" t="s">
        <v>64</v>
      </c>
      <c r="F4" s="128"/>
      <c r="G4" s="129" t="s">
        <v>65</v>
      </c>
    </row>
    <row r="5" spans="1:10" ht="19.5" customHeight="1" thickBot="1" x14ac:dyDescent="0.25">
      <c r="A5" s="83"/>
      <c r="B5" s="84"/>
      <c r="C5" s="132"/>
      <c r="D5" s="126"/>
      <c r="E5" s="85" t="s">
        <v>62</v>
      </c>
      <c r="F5" s="86" t="s">
        <v>60</v>
      </c>
      <c r="G5" s="130"/>
    </row>
    <row r="6" spans="1:10" ht="35.1" customHeight="1" thickBot="1" x14ac:dyDescent="0.25">
      <c r="A6" s="54" t="s">
        <v>1</v>
      </c>
      <c r="B6" s="133" t="s">
        <v>7</v>
      </c>
      <c r="C6" s="134"/>
      <c r="D6" s="134"/>
      <c r="E6" s="134"/>
      <c r="F6" s="134"/>
      <c r="G6" s="135"/>
      <c r="H6" s="1"/>
      <c r="I6" s="2"/>
      <c r="J6" s="2"/>
    </row>
    <row r="7" spans="1:10" ht="20.100000000000001" customHeight="1" x14ac:dyDescent="0.2">
      <c r="A7" s="118" t="s">
        <v>56</v>
      </c>
      <c r="B7" s="149" t="s">
        <v>260</v>
      </c>
      <c r="C7" s="150"/>
      <c r="D7" s="150"/>
      <c r="E7" s="150"/>
      <c r="F7" s="150"/>
      <c r="G7" s="151"/>
      <c r="H7" s="1"/>
      <c r="I7" s="4"/>
      <c r="J7" s="2"/>
    </row>
    <row r="8" spans="1:10" s="6" customFormat="1" ht="20.100000000000001" customHeight="1" x14ac:dyDescent="0.2">
      <c r="A8" s="36" t="s">
        <v>104</v>
      </c>
      <c r="B8" s="37" t="s">
        <v>105</v>
      </c>
      <c r="C8" s="38" t="s">
        <v>211</v>
      </c>
      <c r="D8" s="90">
        <v>0.9</v>
      </c>
      <c r="E8" s="39" t="s">
        <v>82</v>
      </c>
      <c r="F8" s="31"/>
      <c r="G8" s="40" t="str">
        <f>IF(F8="","",IF(SUM($F$8:$F$11)&gt;6,"",F8*D8))</f>
        <v/>
      </c>
      <c r="H8" s="5"/>
      <c r="I8" s="180" t="str">
        <f>IF(SUM(F8:F11)&gt;6,"ACHTUNG:" &amp; CHAR(10) &amp; "Es wurden mehr als 6 WE eingegeben!" &amp; CHAR(10) &amp; "Eingabe bei Pkt. 1.2","")</f>
        <v/>
      </c>
    </row>
    <row r="9" spans="1:10" s="6" customFormat="1" ht="20.100000000000001" customHeight="1" x14ac:dyDescent="0.2">
      <c r="A9" s="36" t="s">
        <v>106</v>
      </c>
      <c r="B9" s="41" t="s">
        <v>109</v>
      </c>
      <c r="C9" s="42" t="s">
        <v>212</v>
      </c>
      <c r="D9" s="90">
        <v>1.2</v>
      </c>
      <c r="E9" s="43" t="s">
        <v>82</v>
      </c>
      <c r="F9" s="29"/>
      <c r="G9" s="40" t="str">
        <f>IF(F9="","",IF(SUM($F$8:$F$11)&gt;6,"",F9*D9))</f>
        <v/>
      </c>
      <c r="H9" s="5"/>
      <c r="I9" s="180"/>
    </row>
    <row r="10" spans="1:10" s="6" customFormat="1" ht="20.100000000000001" customHeight="1" x14ac:dyDescent="0.2">
      <c r="A10" s="36" t="s">
        <v>107</v>
      </c>
      <c r="B10" s="41" t="s">
        <v>110</v>
      </c>
      <c r="C10" s="42" t="s">
        <v>213</v>
      </c>
      <c r="D10" s="90">
        <v>1.4</v>
      </c>
      <c r="E10" s="43" t="s">
        <v>82</v>
      </c>
      <c r="F10" s="29"/>
      <c r="G10" s="40" t="str">
        <f>IF(F10="","",IF(SUM($F$8:$F$11)&gt;6,"",F10*D10))</f>
        <v/>
      </c>
      <c r="H10" s="7"/>
      <c r="I10" s="180"/>
    </row>
    <row r="11" spans="1:10" s="6" customFormat="1" ht="20.100000000000001" customHeight="1" x14ac:dyDescent="0.2">
      <c r="A11" s="36" t="s">
        <v>108</v>
      </c>
      <c r="B11" s="41" t="s">
        <v>115</v>
      </c>
      <c r="C11" s="42" t="s">
        <v>214</v>
      </c>
      <c r="D11" s="90">
        <v>1.5</v>
      </c>
      <c r="E11" s="43" t="s">
        <v>82</v>
      </c>
      <c r="F11" s="29"/>
      <c r="G11" s="40" t="str">
        <f>IF(F11="","",IF(SUM($F$8:$F$11)&gt;6,"",F11*D11))</f>
        <v/>
      </c>
      <c r="H11" s="7"/>
      <c r="I11" s="180"/>
    </row>
    <row r="12" spans="1:10" s="6" customFormat="1" ht="20.100000000000001" customHeight="1" x14ac:dyDescent="0.2">
      <c r="A12" s="117" t="s">
        <v>2</v>
      </c>
      <c r="B12" s="152" t="s">
        <v>261</v>
      </c>
      <c r="C12" s="153"/>
      <c r="D12" s="153"/>
      <c r="E12" s="153"/>
      <c r="F12" s="153"/>
      <c r="G12" s="154"/>
      <c r="H12" s="7"/>
    </row>
    <row r="13" spans="1:10" s="6" customFormat="1" ht="20.100000000000001" customHeight="1" x14ac:dyDescent="0.2">
      <c r="A13" s="119" t="s">
        <v>111</v>
      </c>
      <c r="B13" s="120" t="s">
        <v>105</v>
      </c>
      <c r="C13" s="121" t="s">
        <v>259</v>
      </c>
      <c r="D13" s="90">
        <f>0.9 * 0.85</f>
        <v>0.76500000000000001</v>
      </c>
      <c r="E13" s="43" t="s">
        <v>82</v>
      </c>
      <c r="F13" s="29"/>
      <c r="G13" s="44" t="str">
        <f>IF(F13="","",IF(SUM($F$13:$F$16)&gt;6,F13*D13,""))</f>
        <v/>
      </c>
      <c r="H13" s="7"/>
      <c r="I13" s="180" t="str">
        <f>IF(AND(F13="",F14="",F15="",F16=""),"",IF(SUM(F13:F16)&gt;6,"","ACHTUNG:" &amp; CHAR(10) &amp; "Kontrollieren Sie bitte ob es sich um eine Wohnanlage handelt!" &amp; CHAR(10) &amp; "Eingabe bei Pkt. 1.1"))</f>
        <v/>
      </c>
    </row>
    <row r="14" spans="1:10" s="6" customFormat="1" ht="20.100000000000001" customHeight="1" x14ac:dyDescent="0.2">
      <c r="A14" s="36" t="s">
        <v>112</v>
      </c>
      <c r="B14" s="41" t="s">
        <v>109</v>
      </c>
      <c r="C14" s="42" t="s">
        <v>229</v>
      </c>
      <c r="D14" s="90">
        <f>1.2 * 0.85</f>
        <v>1.02</v>
      </c>
      <c r="E14" s="43" t="s">
        <v>82</v>
      </c>
      <c r="F14" s="29"/>
      <c r="G14" s="44" t="str">
        <f>IF(F14="","",IF(SUM($F$13:$F$16)&gt;6,F14*D14,""))</f>
        <v/>
      </c>
      <c r="H14" s="7"/>
      <c r="I14" s="180"/>
    </row>
    <row r="15" spans="1:10" s="6" customFormat="1" ht="20.100000000000001" customHeight="1" x14ac:dyDescent="0.2">
      <c r="A15" s="36" t="s">
        <v>113</v>
      </c>
      <c r="B15" s="41" t="s">
        <v>110</v>
      </c>
      <c r="C15" s="42" t="s">
        <v>245</v>
      </c>
      <c r="D15" s="90">
        <f>1.4 * 0.85</f>
        <v>1.19</v>
      </c>
      <c r="E15" s="43" t="s">
        <v>82</v>
      </c>
      <c r="F15" s="29"/>
      <c r="G15" s="44" t="str">
        <f>IF(F15="","",IF(SUM($F$13:$F$16)&gt;6,F15*D15,""))</f>
        <v/>
      </c>
      <c r="H15" s="7"/>
      <c r="I15" s="180"/>
    </row>
    <row r="16" spans="1:10" s="6" customFormat="1" ht="20.100000000000001" customHeight="1" x14ac:dyDescent="0.2">
      <c r="A16" s="36" t="s">
        <v>114</v>
      </c>
      <c r="B16" s="41" t="s">
        <v>115</v>
      </c>
      <c r="C16" s="42" t="s">
        <v>239</v>
      </c>
      <c r="D16" s="90">
        <f>1.5 * 0.85</f>
        <v>1.2749999999999999</v>
      </c>
      <c r="E16" s="43" t="s">
        <v>82</v>
      </c>
      <c r="F16" s="29"/>
      <c r="G16" s="44" t="str">
        <f>IF(F16="","",IF(SUM($F$13:$F$16)&gt;6,F16*D16,""))</f>
        <v/>
      </c>
      <c r="H16" s="7"/>
      <c r="I16" s="180"/>
    </row>
    <row r="17" spans="1:9" s="6" customFormat="1" ht="20.100000000000001" customHeight="1" x14ac:dyDescent="0.2">
      <c r="A17" s="117" t="s">
        <v>3</v>
      </c>
      <c r="B17" s="149" t="s">
        <v>120</v>
      </c>
      <c r="C17" s="150"/>
      <c r="D17" s="150"/>
      <c r="E17" s="150"/>
      <c r="F17" s="150"/>
      <c r="G17" s="151"/>
      <c r="H17" s="7"/>
    </row>
    <row r="18" spans="1:9" s="6" customFormat="1" ht="20.100000000000001" customHeight="1" x14ac:dyDescent="0.2">
      <c r="A18" s="45" t="s">
        <v>116</v>
      </c>
      <c r="B18" s="158" t="s">
        <v>118</v>
      </c>
      <c r="C18" s="159"/>
      <c r="D18" s="159"/>
      <c r="E18" s="159"/>
      <c r="F18" s="159"/>
      <c r="G18" s="160"/>
      <c r="H18" s="7"/>
    </row>
    <row r="19" spans="1:9" s="6" customFormat="1" ht="20.100000000000001" customHeight="1" x14ac:dyDescent="0.2">
      <c r="A19" s="36" t="s">
        <v>121</v>
      </c>
      <c r="B19" s="41" t="s">
        <v>105</v>
      </c>
      <c r="C19" s="42" t="s">
        <v>241</v>
      </c>
      <c r="D19" s="90">
        <f>0.9*0.75</f>
        <v>0.67500000000000004</v>
      </c>
      <c r="E19" s="43" t="s">
        <v>82</v>
      </c>
      <c r="F19" s="29"/>
      <c r="G19" s="44" t="str">
        <f>IF(F19="","",IF(SUM($F$19:$F$22)&gt;5,"",F19*D19))</f>
        <v/>
      </c>
      <c r="H19" s="7"/>
      <c r="I19" s="180" t="str">
        <f>IF(SUM(F19:F22)&gt;5,"ACHTUNG:" &amp; CHAR(10) &amp; "Es wurden mehr als 5 WE eingegeben!" &amp; CHAR(10) &amp; "Eingabe bei Pkt. 1.3.2","")</f>
        <v/>
      </c>
    </row>
    <row r="20" spans="1:9" s="6" customFormat="1" ht="20.100000000000001" customHeight="1" x14ac:dyDescent="0.2">
      <c r="A20" s="36" t="s">
        <v>122</v>
      </c>
      <c r="B20" s="41" t="s">
        <v>109</v>
      </c>
      <c r="C20" s="42" t="s">
        <v>221</v>
      </c>
      <c r="D20" s="90">
        <f>1.2 * 0.75</f>
        <v>0.89999999999999991</v>
      </c>
      <c r="E20" s="43" t="s">
        <v>82</v>
      </c>
      <c r="F20" s="29"/>
      <c r="G20" s="44" t="str">
        <f t="shared" ref="G20:G22" si="0">IF(F20="","",IF(SUM($F$19:$F$22)&gt;5,"",F20*D20))</f>
        <v/>
      </c>
      <c r="H20" s="7"/>
      <c r="I20" s="180"/>
    </row>
    <row r="21" spans="1:9" s="6" customFormat="1" ht="20.100000000000001" customHeight="1" x14ac:dyDescent="0.2">
      <c r="A21" s="36" t="s">
        <v>123</v>
      </c>
      <c r="B21" s="41" t="s">
        <v>110</v>
      </c>
      <c r="C21" s="42" t="s">
        <v>242</v>
      </c>
      <c r="D21" s="90">
        <f>1.4 * 0.75</f>
        <v>1.0499999999999998</v>
      </c>
      <c r="E21" s="43" t="s">
        <v>82</v>
      </c>
      <c r="F21" s="29"/>
      <c r="G21" s="44" t="str">
        <f t="shared" si="0"/>
        <v/>
      </c>
      <c r="H21" s="7"/>
      <c r="I21" s="180"/>
    </row>
    <row r="22" spans="1:9" s="6" customFormat="1" ht="20.100000000000001" customHeight="1" x14ac:dyDescent="0.2">
      <c r="A22" s="36" t="s">
        <v>124</v>
      </c>
      <c r="B22" s="41" t="s">
        <v>115</v>
      </c>
      <c r="C22" s="42" t="s">
        <v>234</v>
      </c>
      <c r="D22" s="90">
        <f>1.5*0.75</f>
        <v>1.125</v>
      </c>
      <c r="E22" s="43" t="s">
        <v>82</v>
      </c>
      <c r="F22" s="29"/>
      <c r="G22" s="44" t="str">
        <f t="shared" si="0"/>
        <v/>
      </c>
      <c r="H22" s="7"/>
      <c r="I22" s="180"/>
    </row>
    <row r="23" spans="1:9" s="6" customFormat="1" ht="20.100000000000001" customHeight="1" x14ac:dyDescent="0.2">
      <c r="A23" s="45" t="s">
        <v>117</v>
      </c>
      <c r="B23" s="155" t="s">
        <v>119</v>
      </c>
      <c r="C23" s="156"/>
      <c r="D23" s="156"/>
      <c r="E23" s="156"/>
      <c r="F23" s="156"/>
      <c r="G23" s="157"/>
      <c r="H23" s="7"/>
    </row>
    <row r="24" spans="1:9" s="6" customFormat="1" ht="20.100000000000001" customHeight="1" x14ac:dyDescent="0.2">
      <c r="A24" s="36" t="s">
        <v>125</v>
      </c>
      <c r="B24" s="41" t="s">
        <v>105</v>
      </c>
      <c r="C24" s="42" t="s">
        <v>243</v>
      </c>
      <c r="D24" s="90">
        <f>0.9 * 0.65</f>
        <v>0.58500000000000008</v>
      </c>
      <c r="E24" s="43" t="s">
        <v>82</v>
      </c>
      <c r="F24" s="29"/>
      <c r="G24" s="44" t="str">
        <f>IF(F24="","",IF(SUM($F$24:$F$29)&gt;5,F24*D24,""))</f>
        <v/>
      </c>
      <c r="H24" s="7"/>
      <c r="I24" s="180" t="str">
        <f>IF(AND(F24="",F25="",F26="",F27=""),"",IF(SUM(F24:F27)&gt;5,"","ACHTUNG:" &amp; CHAR(10) &amp; "Kontrollieren Sie bitte ob es sich um eine Wohnanlage handelt!" &amp; CHAR(10) &amp; "Eingabe bei Pkt. 1.3.1"))</f>
        <v/>
      </c>
    </row>
    <row r="25" spans="1:9" s="6" customFormat="1" ht="20.100000000000001" customHeight="1" x14ac:dyDescent="0.2">
      <c r="A25" s="36" t="s">
        <v>126</v>
      </c>
      <c r="B25" s="41" t="s">
        <v>109</v>
      </c>
      <c r="C25" s="42" t="s">
        <v>225</v>
      </c>
      <c r="D25" s="90">
        <f>1.2*0.65</f>
        <v>0.78</v>
      </c>
      <c r="E25" s="43" t="s">
        <v>82</v>
      </c>
      <c r="F25" s="29"/>
      <c r="G25" s="44" t="str">
        <f t="shared" ref="G25:G27" si="1">IF(F25="","",IF(SUM($F$24:$F$29)&gt;5,F25*D25,""))</f>
        <v/>
      </c>
      <c r="H25" s="7"/>
      <c r="I25" s="180"/>
    </row>
    <row r="26" spans="1:9" s="6" customFormat="1" ht="20.100000000000001" customHeight="1" x14ac:dyDescent="0.2">
      <c r="A26" s="36" t="s">
        <v>127</v>
      </c>
      <c r="B26" s="41" t="s">
        <v>110</v>
      </c>
      <c r="C26" s="42" t="s">
        <v>244</v>
      </c>
      <c r="D26" s="90">
        <f>1.4*0.65</f>
        <v>0.90999999999999992</v>
      </c>
      <c r="E26" s="43" t="s">
        <v>82</v>
      </c>
      <c r="F26" s="29"/>
      <c r="G26" s="44" t="str">
        <f t="shared" si="1"/>
        <v/>
      </c>
      <c r="H26" s="7"/>
      <c r="I26" s="180"/>
    </row>
    <row r="27" spans="1:9" s="6" customFormat="1" ht="20.100000000000001" customHeight="1" x14ac:dyDescent="0.2">
      <c r="A27" s="36" t="s">
        <v>128</v>
      </c>
      <c r="B27" s="41" t="s">
        <v>115</v>
      </c>
      <c r="C27" s="42" t="s">
        <v>236</v>
      </c>
      <c r="D27" s="90">
        <f>1.5*0.65</f>
        <v>0.97500000000000009</v>
      </c>
      <c r="E27" s="43" t="s">
        <v>82</v>
      </c>
      <c r="F27" s="29"/>
      <c r="G27" s="44" t="str">
        <f t="shared" si="1"/>
        <v/>
      </c>
      <c r="H27" s="7"/>
      <c r="I27" s="180"/>
    </row>
    <row r="28" spans="1:9" s="6" customFormat="1" ht="30" customHeight="1" x14ac:dyDescent="0.2">
      <c r="A28" s="45" t="s">
        <v>5</v>
      </c>
      <c r="B28" s="46" t="s">
        <v>4</v>
      </c>
      <c r="C28" s="47" t="s">
        <v>158</v>
      </c>
      <c r="D28" s="90">
        <f>1/20</f>
        <v>0.05</v>
      </c>
      <c r="E28" s="43" t="s">
        <v>200</v>
      </c>
      <c r="F28" s="29"/>
      <c r="G28" s="44" t="str">
        <f>IF(F28="","",IF(F28*D28&lt;2,2,F28*D28))</f>
        <v/>
      </c>
      <c r="H28" s="8"/>
      <c r="I28" s="107" t="s">
        <v>269</v>
      </c>
    </row>
    <row r="29" spans="1:9" s="6" customFormat="1" ht="30" customHeight="1" thickBot="1" x14ac:dyDescent="0.25">
      <c r="A29" s="49" t="s">
        <v>99</v>
      </c>
      <c r="B29" s="50" t="s">
        <v>6</v>
      </c>
      <c r="C29" s="51" t="s">
        <v>177</v>
      </c>
      <c r="D29" s="90">
        <f>1/3</f>
        <v>0.33333333333333331</v>
      </c>
      <c r="E29" s="52" t="s">
        <v>200</v>
      </c>
      <c r="F29" s="33"/>
      <c r="G29" s="53" t="str">
        <f>IF(F29="","",IF(F29*D29&lt;2,2,F29*D29))</f>
        <v/>
      </c>
      <c r="H29" s="7"/>
      <c r="I29" s="124">
        <f>ROUND(SUM(G8:G11,G13:G16,G19:G22,G24:G29),0)</f>
        <v>0</v>
      </c>
    </row>
    <row r="30" spans="1:9" s="6" customFormat="1" ht="35.1" customHeight="1" thickBot="1" x14ac:dyDescent="0.25">
      <c r="A30" s="54" t="s">
        <v>8</v>
      </c>
      <c r="B30" s="133" t="s">
        <v>0</v>
      </c>
      <c r="C30" s="134"/>
      <c r="D30" s="134"/>
      <c r="E30" s="134"/>
      <c r="F30" s="134"/>
      <c r="G30" s="135"/>
      <c r="H30" s="7"/>
    </row>
    <row r="31" spans="1:9" s="6" customFormat="1" ht="50.1" customHeight="1" thickBot="1" x14ac:dyDescent="0.25">
      <c r="A31" s="55" t="s">
        <v>9</v>
      </c>
      <c r="B31" s="56" t="s">
        <v>133</v>
      </c>
      <c r="C31" s="57" t="s">
        <v>159</v>
      </c>
      <c r="D31" s="90">
        <f>1/60</f>
        <v>1.6666666666666666E-2</v>
      </c>
      <c r="E31" s="58" t="s">
        <v>201</v>
      </c>
      <c r="F31" s="34"/>
      <c r="G31" s="59" t="str">
        <f>IF(F31="","",IF(F31*D31&lt;2,2,F31*D31))</f>
        <v/>
      </c>
      <c r="H31" s="7"/>
    </row>
    <row r="32" spans="1:9" s="6" customFormat="1" ht="35.1" customHeight="1" thickBot="1" x14ac:dyDescent="0.25">
      <c r="A32" s="54" t="s">
        <v>10</v>
      </c>
      <c r="B32" s="133" t="s">
        <v>11</v>
      </c>
      <c r="C32" s="134"/>
      <c r="D32" s="134"/>
      <c r="E32" s="134"/>
      <c r="F32" s="134"/>
      <c r="G32" s="135"/>
      <c r="H32" s="7"/>
    </row>
    <row r="33" spans="1:8" s="6" customFormat="1" ht="30" customHeight="1" x14ac:dyDescent="0.2">
      <c r="A33" s="60" t="s">
        <v>12</v>
      </c>
      <c r="B33" s="61" t="s">
        <v>17</v>
      </c>
      <c r="C33" s="62" t="s">
        <v>160</v>
      </c>
      <c r="D33" s="90">
        <f>1/30</f>
        <v>3.3333333333333333E-2</v>
      </c>
      <c r="E33" s="39" t="s">
        <v>202</v>
      </c>
      <c r="F33" s="31"/>
      <c r="G33" s="40" t="str">
        <f>IF(F33="","",IF(F33*D33&lt;2,2,F33*D33))</f>
        <v/>
      </c>
      <c r="H33" s="7"/>
    </row>
    <row r="34" spans="1:8" s="6" customFormat="1" ht="30" customHeight="1" x14ac:dyDescent="0.2">
      <c r="A34" s="63" t="s">
        <v>13</v>
      </c>
      <c r="B34" s="64" t="s">
        <v>134</v>
      </c>
      <c r="C34" s="51" t="s">
        <v>161</v>
      </c>
      <c r="D34" s="90">
        <f>1/25</f>
        <v>0.04</v>
      </c>
      <c r="E34" s="43" t="s">
        <v>202</v>
      </c>
      <c r="F34" s="29"/>
      <c r="G34" s="44" t="str">
        <f>IF(F34="","",IF(F34*D34&lt;2,2,F34*D34))</f>
        <v/>
      </c>
      <c r="H34" s="7"/>
    </row>
    <row r="35" spans="1:8" s="6" customFormat="1" ht="35.25" customHeight="1" x14ac:dyDescent="0.2">
      <c r="A35" s="65" t="s">
        <v>14</v>
      </c>
      <c r="B35" s="103" t="s">
        <v>252</v>
      </c>
      <c r="C35" s="51" t="s">
        <v>162</v>
      </c>
      <c r="D35" s="90">
        <f>1/15</f>
        <v>6.6666666666666666E-2</v>
      </c>
      <c r="E35" s="43" t="s">
        <v>202</v>
      </c>
      <c r="F35" s="29"/>
      <c r="G35" s="44" t="str">
        <f>IF(F35="","",IF(F35*D35&lt;2,2,F35*D35))</f>
        <v/>
      </c>
      <c r="H35" s="8"/>
    </row>
    <row r="36" spans="1:8" s="6" customFormat="1" ht="30" customHeight="1" thickBot="1" x14ac:dyDescent="0.25">
      <c r="A36" s="66" t="s">
        <v>16</v>
      </c>
      <c r="B36" s="50" t="s">
        <v>18</v>
      </c>
      <c r="C36" s="67" t="s">
        <v>163</v>
      </c>
      <c r="D36" s="90">
        <f>1/100</f>
        <v>0.01</v>
      </c>
      <c r="E36" s="52" t="s">
        <v>203</v>
      </c>
      <c r="F36" s="33"/>
      <c r="G36" s="53" t="str">
        <f>IF(F36="","",F36*D36)</f>
        <v/>
      </c>
      <c r="H36" s="8"/>
    </row>
    <row r="37" spans="1:8" s="6" customFormat="1" ht="35.1" customHeight="1" thickBot="1" x14ac:dyDescent="0.25">
      <c r="A37" s="54" t="s">
        <v>19</v>
      </c>
      <c r="B37" s="133" t="s">
        <v>20</v>
      </c>
      <c r="C37" s="134"/>
      <c r="D37" s="134"/>
      <c r="E37" s="134"/>
      <c r="F37" s="134"/>
      <c r="G37" s="135"/>
      <c r="H37" s="8"/>
    </row>
    <row r="38" spans="1:8" s="6" customFormat="1" ht="30" customHeight="1" x14ac:dyDescent="0.2">
      <c r="A38" s="68" t="s">
        <v>21</v>
      </c>
      <c r="B38" s="61" t="s">
        <v>22</v>
      </c>
      <c r="C38" s="47" t="s">
        <v>164</v>
      </c>
      <c r="D38" s="90">
        <f>1/10</f>
        <v>0.1</v>
      </c>
      <c r="E38" s="43" t="s">
        <v>204</v>
      </c>
      <c r="F38" s="29"/>
      <c r="G38" s="53" t="str">
        <f>IF(F38="","",IF(F38*D38&lt;2,2,F38*D38))</f>
        <v/>
      </c>
      <c r="H38" s="7"/>
    </row>
    <row r="39" spans="1:8" s="6" customFormat="1" ht="30" customHeight="1" x14ac:dyDescent="0.2">
      <c r="A39" s="69" t="s">
        <v>23</v>
      </c>
      <c r="B39" s="46" t="s">
        <v>24</v>
      </c>
      <c r="C39" s="47" t="s">
        <v>165</v>
      </c>
      <c r="D39" s="90">
        <f>1/4</f>
        <v>0.25</v>
      </c>
      <c r="E39" s="43" t="s">
        <v>200</v>
      </c>
      <c r="F39" s="29"/>
      <c r="G39" s="53" t="str">
        <f>IF(F39="","",IF(F39*D39&lt;2,2,F39*D39))</f>
        <v/>
      </c>
      <c r="H39" s="7"/>
    </row>
    <row r="40" spans="1:8" s="6" customFormat="1" ht="30" customHeight="1" thickBot="1" x14ac:dyDescent="0.25">
      <c r="A40" s="66" t="s">
        <v>25</v>
      </c>
      <c r="B40" s="50" t="s">
        <v>26</v>
      </c>
      <c r="C40" s="51" t="s">
        <v>166</v>
      </c>
      <c r="D40" s="90">
        <f>1/13</f>
        <v>7.6923076923076927E-2</v>
      </c>
      <c r="E40" s="52" t="s">
        <v>200</v>
      </c>
      <c r="F40" s="33"/>
      <c r="G40" s="53" t="str">
        <f>IF(F40="","",IF(F40*D40&lt;2,2,F40*D40))</f>
        <v/>
      </c>
      <c r="H40" s="7"/>
    </row>
    <row r="41" spans="1:8" s="6" customFormat="1" ht="35.1" customHeight="1" thickBot="1" x14ac:dyDescent="0.25">
      <c r="A41" s="54" t="s">
        <v>27</v>
      </c>
      <c r="B41" s="133" t="s">
        <v>28</v>
      </c>
      <c r="C41" s="134"/>
      <c r="D41" s="134"/>
      <c r="E41" s="134"/>
      <c r="F41" s="134"/>
      <c r="G41" s="135"/>
      <c r="H41" s="7"/>
    </row>
    <row r="42" spans="1:8" s="6" customFormat="1" ht="24.95" customHeight="1" x14ac:dyDescent="0.2">
      <c r="A42" s="162" t="s">
        <v>29</v>
      </c>
      <c r="B42" s="166" t="s">
        <v>30</v>
      </c>
      <c r="C42" s="164" t="s">
        <v>167</v>
      </c>
      <c r="D42" s="90">
        <f>1/200</f>
        <v>5.0000000000000001E-3</v>
      </c>
      <c r="E42" s="43" t="s">
        <v>201</v>
      </c>
      <c r="F42" s="29"/>
      <c r="G42" s="168" t="str">
        <f>IF(F42="","",IF(F43="","",IF(F42*D42+F43*D43&lt;2,2,F42*D42+F43*D43)))</f>
        <v/>
      </c>
      <c r="H42" s="7"/>
    </row>
    <row r="43" spans="1:8" s="6" customFormat="1" ht="24.95" customHeight="1" x14ac:dyDescent="0.2">
      <c r="A43" s="163"/>
      <c r="B43" s="167"/>
      <c r="C43" s="165"/>
      <c r="D43" s="90">
        <f>1/3</f>
        <v>0.33333333333333331</v>
      </c>
      <c r="E43" s="43" t="s">
        <v>68</v>
      </c>
      <c r="F43" s="29"/>
      <c r="G43" s="169"/>
      <c r="H43" s="8"/>
    </row>
    <row r="44" spans="1:8" s="6" customFormat="1" ht="39.950000000000003" hidden="1" customHeight="1" x14ac:dyDescent="0.2">
      <c r="A44" s="69" t="s">
        <v>31</v>
      </c>
      <c r="B44" s="46" t="s">
        <v>32</v>
      </c>
      <c r="C44" s="47" t="s">
        <v>57</v>
      </c>
      <c r="D44" s="90">
        <v>1.2500000000000001E-2</v>
      </c>
      <c r="E44" s="43" t="s">
        <v>61</v>
      </c>
      <c r="F44" s="29"/>
      <c r="G44" s="73" t="str">
        <f>IF($F$44="","",$F$44*$D$44)</f>
        <v/>
      </c>
      <c r="H44" s="8"/>
    </row>
    <row r="45" spans="1:8" s="6" customFormat="1" ht="20.100000000000001" customHeight="1" x14ac:dyDescent="0.2">
      <c r="A45" s="69" t="s">
        <v>31</v>
      </c>
      <c r="B45" s="46" t="s">
        <v>32</v>
      </c>
      <c r="C45" s="42" t="s">
        <v>168</v>
      </c>
      <c r="D45" s="90">
        <f>1/200</f>
        <v>5.0000000000000001E-3</v>
      </c>
      <c r="E45" s="43" t="s">
        <v>205</v>
      </c>
      <c r="F45" s="29"/>
      <c r="G45" s="53" t="str">
        <f>IF(F45="","",F45*D45)</f>
        <v/>
      </c>
      <c r="H45" s="8"/>
    </row>
    <row r="46" spans="1:8" s="6" customFormat="1" ht="20.100000000000001" customHeight="1" thickBot="1" x14ac:dyDescent="0.25">
      <c r="A46" s="66" t="s">
        <v>33</v>
      </c>
      <c r="B46" s="50" t="s">
        <v>34</v>
      </c>
      <c r="C46" s="51" t="s">
        <v>58</v>
      </c>
      <c r="D46" s="90">
        <v>2</v>
      </c>
      <c r="E46" s="52" t="s">
        <v>34</v>
      </c>
      <c r="F46" s="33"/>
      <c r="G46" s="53" t="str">
        <f>IF(F46="","",F46*D46)</f>
        <v/>
      </c>
      <c r="H46" s="8"/>
    </row>
    <row r="47" spans="1:8" s="6" customFormat="1" ht="35.1" customHeight="1" thickBot="1" x14ac:dyDescent="0.25">
      <c r="A47" s="54" t="s">
        <v>35</v>
      </c>
      <c r="B47" s="133" t="s">
        <v>36</v>
      </c>
      <c r="C47" s="134"/>
      <c r="D47" s="134"/>
      <c r="E47" s="134"/>
      <c r="F47" s="134"/>
      <c r="G47" s="135"/>
      <c r="H47" s="8"/>
    </row>
    <row r="48" spans="1:8" s="6" customFormat="1" ht="30" customHeight="1" x14ac:dyDescent="0.2">
      <c r="A48" s="68" t="s">
        <v>37</v>
      </c>
      <c r="B48" s="61" t="s">
        <v>146</v>
      </c>
      <c r="C48" s="62" t="s">
        <v>169</v>
      </c>
      <c r="D48" s="90">
        <f>1/10</f>
        <v>0.1</v>
      </c>
      <c r="E48" s="39" t="s">
        <v>70</v>
      </c>
      <c r="F48" s="31"/>
      <c r="G48" s="53" t="str">
        <f>IF(F48="","",F48*D48)</f>
        <v/>
      </c>
      <c r="H48" s="7"/>
    </row>
    <row r="49" spans="1:19" s="6" customFormat="1" ht="30" customHeight="1" thickBot="1" x14ac:dyDescent="0.25">
      <c r="A49" s="66" t="s">
        <v>38</v>
      </c>
      <c r="B49" s="50" t="s">
        <v>148</v>
      </c>
      <c r="C49" s="51" t="s">
        <v>147</v>
      </c>
      <c r="D49" s="90">
        <f>1/15</f>
        <v>6.6666666666666666E-2</v>
      </c>
      <c r="E49" s="52" t="s">
        <v>70</v>
      </c>
      <c r="F49" s="33"/>
      <c r="G49" s="53" t="str">
        <f>IF(F49="","",F49*D49)</f>
        <v/>
      </c>
      <c r="H49" s="7"/>
    </row>
    <row r="50" spans="1:19" s="6" customFormat="1" ht="35.1" customHeight="1" thickBot="1" x14ac:dyDescent="0.25">
      <c r="A50" s="54" t="s">
        <v>39</v>
      </c>
      <c r="B50" s="133" t="s">
        <v>40</v>
      </c>
      <c r="C50" s="134"/>
      <c r="D50" s="134"/>
      <c r="E50" s="134"/>
      <c r="F50" s="134"/>
      <c r="G50" s="135"/>
      <c r="H50" s="7"/>
    </row>
    <row r="51" spans="1:19" s="6" customFormat="1" ht="20.100000000000001" customHeight="1" x14ac:dyDescent="0.2">
      <c r="A51" s="68" t="s">
        <v>41</v>
      </c>
      <c r="B51" s="61" t="s">
        <v>42</v>
      </c>
      <c r="C51" s="62" t="s">
        <v>170</v>
      </c>
      <c r="D51" s="90">
        <f>1/2</f>
        <v>0.5</v>
      </c>
      <c r="E51" s="39" t="s">
        <v>206</v>
      </c>
      <c r="F51" s="31"/>
      <c r="G51" s="53" t="str">
        <f>IF(F51="","",F51*D51)</f>
        <v/>
      </c>
      <c r="H51" s="7"/>
    </row>
    <row r="52" spans="1:19" s="6" customFormat="1" ht="30" customHeight="1" x14ac:dyDescent="0.2">
      <c r="A52" s="69" t="s">
        <v>43</v>
      </c>
      <c r="B52" s="46" t="s">
        <v>44</v>
      </c>
      <c r="C52" s="47" t="s">
        <v>171</v>
      </c>
      <c r="D52" s="90">
        <f>1/2</f>
        <v>0.5</v>
      </c>
      <c r="E52" s="43" t="s">
        <v>207</v>
      </c>
      <c r="F52" s="29"/>
      <c r="G52" s="53" t="str">
        <f t="shared" ref="G52" si="2">IF(F52="","",F52*D52)</f>
        <v/>
      </c>
      <c r="H52" s="7"/>
    </row>
    <row r="53" spans="1:19" s="6" customFormat="1" ht="43.5" thickBot="1" x14ac:dyDescent="0.25">
      <c r="A53" s="66" t="s">
        <v>45</v>
      </c>
      <c r="B53" s="50" t="s">
        <v>256</v>
      </c>
      <c r="C53" s="51" t="s">
        <v>257</v>
      </c>
      <c r="D53" s="90">
        <f>1/10</f>
        <v>0.1</v>
      </c>
      <c r="E53" s="52" t="s">
        <v>208</v>
      </c>
      <c r="F53" s="33"/>
      <c r="G53" s="53" t="str">
        <f>IF(F53="","",IF(F53*D53&lt;2,2,F53*D53))</f>
        <v/>
      </c>
      <c r="H53" s="7"/>
    </row>
    <row r="54" spans="1:19" s="6" customFormat="1" ht="35.1" customHeight="1" thickBot="1" x14ac:dyDescent="0.25">
      <c r="A54" s="54" t="s">
        <v>47</v>
      </c>
      <c r="B54" s="133" t="s">
        <v>46</v>
      </c>
      <c r="C54" s="134"/>
      <c r="D54" s="134"/>
      <c r="E54" s="134"/>
      <c r="F54" s="134"/>
      <c r="G54" s="135"/>
      <c r="H54" s="7"/>
    </row>
    <row r="55" spans="1:19" s="6" customFormat="1" ht="29.25" thickBot="1" x14ac:dyDescent="0.25">
      <c r="A55" s="74" t="s">
        <v>48</v>
      </c>
      <c r="B55" s="75" t="s">
        <v>49</v>
      </c>
      <c r="C55" s="51" t="s">
        <v>172</v>
      </c>
      <c r="D55" s="90">
        <v>0.1</v>
      </c>
      <c r="E55" s="52" t="s">
        <v>200</v>
      </c>
      <c r="F55" s="33"/>
      <c r="G55" s="53" t="str">
        <f>IF(F55="","",F55*D55)</f>
        <v/>
      </c>
      <c r="H55" s="7"/>
    </row>
    <row r="56" spans="1:19" s="6" customFormat="1" ht="35.1" customHeight="1" thickBot="1" x14ac:dyDescent="0.25">
      <c r="A56" s="54" t="s">
        <v>50</v>
      </c>
      <c r="B56" s="133" t="s">
        <v>51</v>
      </c>
      <c r="C56" s="134"/>
      <c r="D56" s="134"/>
      <c r="E56" s="134"/>
      <c r="F56" s="134"/>
      <c r="G56" s="135"/>
      <c r="H56" s="7"/>
    </row>
    <row r="57" spans="1:19" s="6" customFormat="1" hidden="1" x14ac:dyDescent="0.2">
      <c r="A57" s="72" t="s">
        <v>55</v>
      </c>
      <c r="B57" s="61" t="s">
        <v>54</v>
      </c>
      <c r="C57" s="62" t="s">
        <v>59</v>
      </c>
      <c r="D57" s="48">
        <v>0.5</v>
      </c>
      <c r="E57" s="39" t="s">
        <v>63</v>
      </c>
      <c r="F57" s="88"/>
      <c r="G57" s="89" t="str">
        <f>IF($F$57="","",$F$57*$D$57)</f>
        <v/>
      </c>
      <c r="H57" s="7"/>
    </row>
    <row r="58" spans="1:19" s="6" customFormat="1" ht="20.100000000000001" customHeight="1" x14ac:dyDescent="0.2">
      <c r="A58" s="66" t="s">
        <v>52</v>
      </c>
      <c r="B58" s="50" t="s">
        <v>15</v>
      </c>
      <c r="C58" s="51" t="s">
        <v>173</v>
      </c>
      <c r="D58" s="90">
        <f>1/2.5</f>
        <v>0.4</v>
      </c>
      <c r="E58" s="52" t="s">
        <v>209</v>
      </c>
      <c r="F58" s="87"/>
      <c r="G58" s="53" t="str">
        <f>IF(F58="","",F58*D58)</f>
        <v/>
      </c>
      <c r="H58" s="7"/>
      <c r="I58" s="107" t="s">
        <v>268</v>
      </c>
    </row>
    <row r="59" spans="1:19" s="6" customFormat="1" ht="20.100000000000001" customHeight="1" thickBot="1" x14ac:dyDescent="0.25">
      <c r="A59" s="76" t="s">
        <v>53</v>
      </c>
      <c r="B59" s="77" t="s">
        <v>54</v>
      </c>
      <c r="C59" s="78" t="s">
        <v>174</v>
      </c>
      <c r="D59" s="92">
        <f>1/4</f>
        <v>0.25</v>
      </c>
      <c r="E59" s="79" t="s">
        <v>210</v>
      </c>
      <c r="F59" s="30"/>
      <c r="G59" s="53" t="str">
        <f>IF(F59="","",F59*D59)</f>
        <v/>
      </c>
      <c r="H59" s="7"/>
      <c r="I59" s="124">
        <f>ROUND(SUM(G31,G33:G36,G38:G40,G42:G46,G48:G49,G51:G53,G55,G58:G59),0)</f>
        <v>0</v>
      </c>
    </row>
    <row r="60" spans="1:19" s="6" customFormat="1" ht="39.950000000000003" customHeight="1" thickBot="1" x14ac:dyDescent="0.25">
      <c r="A60" s="170" t="s">
        <v>98</v>
      </c>
      <c r="B60" s="171"/>
      <c r="C60" s="171"/>
      <c r="D60" s="171"/>
      <c r="E60" s="171"/>
      <c r="F60" s="172"/>
      <c r="G60" s="80">
        <f>SUM($G$6:$G$59)</f>
        <v>0</v>
      </c>
      <c r="H60" s="7"/>
    </row>
    <row r="61" spans="1:19" s="6" customFormat="1" ht="39.950000000000003" customHeight="1" thickBot="1" x14ac:dyDescent="0.25">
      <c r="A61" s="170" t="s">
        <v>264</v>
      </c>
      <c r="B61" s="171"/>
      <c r="C61" s="171"/>
      <c r="D61" s="171"/>
      <c r="E61" s="171"/>
      <c r="F61" s="172"/>
      <c r="G61" s="80">
        <f>IF(G60=SUM(G8:G11),0,IF((G60-SUM(G8:G11))&gt;=5,ROUNDUP((G60-SUM(G8:G11))/20,0),0))</f>
        <v>0</v>
      </c>
      <c r="H61" s="7"/>
      <c r="I61" s="123" t="str">
        <f>IF(F48="","","ACHTUNG:" &amp; CHAR(10) &amp; "separate Regeln für Veranstaltungsstätten")</f>
        <v/>
      </c>
    </row>
    <row r="62" spans="1:19" s="6" customFormat="1" ht="39.950000000000003" customHeight="1" thickBot="1" x14ac:dyDescent="0.25">
      <c r="A62" s="173" t="s">
        <v>271</v>
      </c>
      <c r="B62" s="171"/>
      <c r="C62" s="171"/>
      <c r="D62" s="171"/>
      <c r="E62" s="171"/>
      <c r="F62" s="172"/>
      <c r="G62" s="80">
        <f>IF(SUM(G13:G16)=0,0,SUM(G13:G16)*0.13)</f>
        <v>0</v>
      </c>
      <c r="H62" s="7"/>
      <c r="I62" s="123"/>
      <c r="J62" s="107"/>
      <c r="K62" s="107"/>
      <c r="L62" s="107"/>
      <c r="M62" s="107"/>
      <c r="N62" s="107"/>
      <c r="O62" s="107"/>
      <c r="P62" s="107"/>
      <c r="Q62" s="107"/>
      <c r="R62" s="107"/>
      <c r="S62" s="107"/>
    </row>
    <row r="63" spans="1:19" s="6" customFormat="1" ht="39.950000000000003" customHeight="1" thickBot="1" x14ac:dyDescent="0.25">
      <c r="A63" s="174" t="s">
        <v>266</v>
      </c>
      <c r="B63" s="175"/>
      <c r="C63" s="170" t="s">
        <v>262</v>
      </c>
      <c r="D63" s="171"/>
      <c r="E63" s="171"/>
      <c r="F63" s="172"/>
      <c r="G63" s="80">
        <f>IF(I59&gt;10,1,0)</f>
        <v>0</v>
      </c>
      <c r="H63" s="7"/>
      <c r="I63" s="182" t="s">
        <v>267</v>
      </c>
    </row>
    <row r="64" spans="1:19" s="6" customFormat="1" ht="39.950000000000003" customHeight="1" thickBot="1" x14ac:dyDescent="0.25">
      <c r="A64" s="176"/>
      <c r="B64" s="177"/>
      <c r="C64" s="173" t="s">
        <v>263</v>
      </c>
      <c r="D64" s="171"/>
      <c r="E64" s="171"/>
      <c r="F64" s="172"/>
      <c r="G64" s="80">
        <f>IF(I29&gt;10,I29,0)+IF(I59&gt;10,ROUNDUP(I59/5,0),0)</f>
        <v>0</v>
      </c>
      <c r="H64" s="7"/>
      <c r="I64" s="182"/>
    </row>
    <row r="65" spans="1:17" s="6" customFormat="1" ht="20.100000000000001" customHeight="1" x14ac:dyDescent="0.2">
      <c r="A65" s="98"/>
      <c r="B65" s="98"/>
      <c r="C65" s="98"/>
      <c r="D65" s="98"/>
      <c r="E65" s="98"/>
      <c r="F65" s="98"/>
      <c r="G65" s="99"/>
      <c r="H65" s="7"/>
    </row>
    <row r="66" spans="1:17" s="6" customFormat="1" ht="20.100000000000001" customHeight="1" x14ac:dyDescent="0.2">
      <c r="C66" s="100" t="s">
        <v>248</v>
      </c>
      <c r="D66" s="10"/>
      <c r="E66" s="11"/>
      <c r="F66" s="11"/>
      <c r="H66" s="7"/>
    </row>
    <row r="67" spans="1:17" s="6" customFormat="1" ht="20.100000000000001" customHeight="1" x14ac:dyDescent="0.2">
      <c r="A67" s="181" t="s">
        <v>84</v>
      </c>
      <c r="B67" s="181"/>
      <c r="C67" s="181"/>
      <c r="D67" s="181"/>
      <c r="E67" s="181"/>
      <c r="F67" s="181"/>
      <c r="G67" s="181"/>
      <c r="H67" s="11"/>
      <c r="I67" s="11"/>
      <c r="J67" s="11"/>
      <c r="K67" s="11"/>
      <c r="L67" s="11"/>
      <c r="M67" s="11"/>
      <c r="N67" s="11"/>
    </row>
    <row r="68" spans="1:17" s="6" customFormat="1" ht="20.100000000000001" customHeight="1" x14ac:dyDescent="0.2">
      <c r="A68" s="12" t="s">
        <v>66</v>
      </c>
      <c r="B68" s="13"/>
      <c r="C68" s="13"/>
      <c r="D68" s="14"/>
      <c r="E68" s="13"/>
      <c r="F68" s="12"/>
      <c r="G68" s="12"/>
      <c r="H68" s="11"/>
      <c r="I68" s="11"/>
      <c r="J68" s="11"/>
      <c r="K68" s="11"/>
      <c r="L68" s="11"/>
      <c r="P68" s="11"/>
      <c r="Q68" s="11"/>
    </row>
    <row r="69" spans="1:17" s="6" customFormat="1" ht="20.100000000000001" customHeight="1" x14ac:dyDescent="0.2">
      <c r="A69" s="15" t="s">
        <v>67</v>
      </c>
      <c r="B69" s="15" t="s">
        <v>85</v>
      </c>
      <c r="C69" s="178" t="s">
        <v>265</v>
      </c>
      <c r="D69" s="178"/>
      <c r="E69" s="178"/>
      <c r="F69" s="178"/>
      <c r="G69" s="12"/>
      <c r="H69" s="11"/>
      <c r="I69" s="11"/>
      <c r="J69" s="11"/>
      <c r="K69" s="11"/>
      <c r="L69" s="11"/>
      <c r="P69" s="11"/>
      <c r="Q69" s="11"/>
    </row>
    <row r="70" spans="1:17" s="6" customFormat="1" ht="20.100000000000001" customHeight="1" x14ac:dyDescent="0.2">
      <c r="A70" s="17" t="s">
        <v>68</v>
      </c>
      <c r="B70" s="15" t="s">
        <v>86</v>
      </c>
      <c r="C70" s="178"/>
      <c r="D70" s="178"/>
      <c r="E70" s="178"/>
      <c r="F70" s="178"/>
      <c r="G70" s="12"/>
      <c r="H70" s="11"/>
      <c r="I70" s="11"/>
      <c r="J70" s="11"/>
      <c r="K70" s="11"/>
      <c r="L70" s="11"/>
      <c r="P70" s="11"/>
      <c r="Q70" s="11"/>
    </row>
    <row r="71" spans="1:17" s="6" customFormat="1" ht="20.100000000000001" customHeight="1" x14ac:dyDescent="0.2">
      <c r="A71" s="15" t="s">
        <v>69</v>
      </c>
      <c r="B71" s="15" t="s">
        <v>87</v>
      </c>
      <c r="C71" s="178"/>
      <c r="D71" s="178"/>
      <c r="E71" s="178"/>
      <c r="F71" s="178"/>
      <c r="G71" s="12"/>
      <c r="H71" s="11"/>
      <c r="I71" s="11"/>
      <c r="J71" s="11"/>
      <c r="K71" s="11"/>
      <c r="L71" s="11"/>
      <c r="P71" s="11"/>
      <c r="Q71" s="11"/>
    </row>
    <row r="72" spans="1:17" s="6" customFormat="1" ht="20.100000000000001" customHeight="1" x14ac:dyDescent="0.2">
      <c r="A72" s="15" t="s">
        <v>70</v>
      </c>
      <c r="B72" s="15" t="s">
        <v>88</v>
      </c>
      <c r="C72" s="178" t="s">
        <v>273</v>
      </c>
      <c r="D72" s="178"/>
      <c r="E72" s="178"/>
      <c r="F72" s="178"/>
      <c r="G72" s="12"/>
      <c r="H72" s="11"/>
      <c r="I72" s="11"/>
      <c r="J72" s="11"/>
      <c r="K72" s="11"/>
      <c r="L72" s="11"/>
      <c r="P72" s="11"/>
      <c r="Q72" s="11"/>
    </row>
    <row r="73" spans="1:17" s="6" customFormat="1" ht="20.100000000000001" customHeight="1" x14ac:dyDescent="0.2">
      <c r="A73" s="15" t="s">
        <v>71</v>
      </c>
      <c r="B73" s="15" t="s">
        <v>89</v>
      </c>
      <c r="C73" s="178"/>
      <c r="D73" s="178"/>
      <c r="E73" s="178"/>
      <c r="F73" s="178"/>
      <c r="G73" s="12"/>
      <c r="H73" s="11"/>
      <c r="I73" s="11"/>
      <c r="J73" s="11"/>
      <c r="K73" s="11"/>
      <c r="L73" s="11"/>
      <c r="P73" s="11"/>
      <c r="Q73" s="11"/>
    </row>
    <row r="74" spans="1:17" s="6" customFormat="1" ht="20.100000000000001" customHeight="1" x14ac:dyDescent="0.2">
      <c r="A74" s="15" t="s">
        <v>72</v>
      </c>
      <c r="B74" s="15" t="s">
        <v>90</v>
      </c>
      <c r="C74" s="178"/>
      <c r="D74" s="178"/>
      <c r="E74" s="178"/>
      <c r="F74" s="178"/>
      <c r="G74" s="12"/>
      <c r="H74" s="11"/>
      <c r="I74" s="11"/>
      <c r="J74" s="11"/>
      <c r="K74" s="11"/>
      <c r="L74" s="11"/>
      <c r="P74" s="11"/>
      <c r="Q74" s="11"/>
    </row>
    <row r="75" spans="1:17" s="6" customFormat="1" ht="20.100000000000001" customHeight="1" x14ac:dyDescent="0.2">
      <c r="A75" s="15" t="s">
        <v>73</v>
      </c>
      <c r="B75" s="15" t="s">
        <v>91</v>
      </c>
      <c r="C75" s="179" t="s">
        <v>272</v>
      </c>
      <c r="D75" s="179"/>
      <c r="E75" s="179"/>
      <c r="F75" s="12"/>
      <c r="G75" s="12"/>
      <c r="H75" s="11"/>
      <c r="I75" s="11"/>
      <c r="J75" s="11"/>
      <c r="K75" s="11"/>
      <c r="L75" s="11"/>
      <c r="P75" s="11"/>
      <c r="Q75" s="11"/>
    </row>
    <row r="76" spans="1:17" s="6" customFormat="1" ht="20.100000000000001" customHeight="1" x14ac:dyDescent="0.2">
      <c r="A76" s="15" t="s">
        <v>74</v>
      </c>
      <c r="B76" s="15" t="s">
        <v>92</v>
      </c>
      <c r="C76" s="179"/>
      <c r="D76" s="179"/>
      <c r="E76" s="179"/>
      <c r="F76" s="12"/>
      <c r="G76" s="12"/>
      <c r="H76" s="32"/>
      <c r="I76" s="32"/>
      <c r="J76" s="32"/>
      <c r="K76" s="32"/>
      <c r="L76" s="32"/>
      <c r="P76" s="11"/>
      <c r="Q76" s="11"/>
    </row>
    <row r="77" spans="1:17" s="6" customFormat="1" ht="20.100000000000001" customHeight="1" x14ac:dyDescent="0.2">
      <c r="A77" s="15" t="s">
        <v>75</v>
      </c>
      <c r="B77" s="15" t="s">
        <v>93</v>
      </c>
      <c r="C77" s="13"/>
      <c r="D77" s="16"/>
      <c r="E77" s="13"/>
      <c r="F77" s="15"/>
      <c r="G77" s="15"/>
      <c r="H77" s="32"/>
      <c r="I77" s="32"/>
      <c r="J77" s="32"/>
      <c r="K77" s="32"/>
      <c r="L77" s="32"/>
      <c r="P77" s="32"/>
      <c r="Q77" s="32"/>
    </row>
    <row r="78" spans="1:17" s="6" customFormat="1" ht="20.100000000000001" customHeight="1" x14ac:dyDescent="0.2">
      <c r="A78" s="104" t="s">
        <v>76</v>
      </c>
      <c r="B78" s="104" t="s">
        <v>253</v>
      </c>
      <c r="C78" s="105"/>
      <c r="D78" s="106"/>
      <c r="E78" s="105"/>
      <c r="F78" s="104"/>
      <c r="G78" s="104"/>
      <c r="H78" s="32"/>
      <c r="I78" s="32"/>
      <c r="J78" s="32"/>
      <c r="K78" s="32"/>
      <c r="L78" s="32"/>
      <c r="P78" s="32"/>
      <c r="Q78" s="32"/>
    </row>
    <row r="79" spans="1:17" s="6" customFormat="1" ht="20.100000000000001" customHeight="1" x14ac:dyDescent="0.2">
      <c r="A79" s="104" t="s">
        <v>77</v>
      </c>
      <c r="B79" s="104" t="s">
        <v>94</v>
      </c>
      <c r="C79" s="105"/>
      <c r="D79" s="106"/>
      <c r="E79" s="105"/>
      <c r="F79" s="104"/>
      <c r="G79" s="104"/>
      <c r="H79" s="32"/>
      <c r="I79" s="32"/>
      <c r="J79" s="32"/>
      <c r="K79" s="32"/>
      <c r="L79" s="32"/>
      <c r="P79" s="32"/>
      <c r="Q79" s="32"/>
    </row>
    <row r="80" spans="1:17" s="6" customFormat="1" ht="20.100000000000001" customHeight="1" x14ac:dyDescent="0.2">
      <c r="A80" s="104" t="s">
        <v>78</v>
      </c>
      <c r="B80" s="104" t="s">
        <v>249</v>
      </c>
      <c r="C80" s="105"/>
      <c r="D80" s="106"/>
      <c r="E80" s="105"/>
      <c r="F80" s="104"/>
      <c r="G80" s="104"/>
      <c r="H80" s="32"/>
      <c r="I80" s="32"/>
      <c r="J80" s="32"/>
      <c r="K80" s="32"/>
      <c r="L80" s="32"/>
      <c r="P80" s="32"/>
      <c r="Q80" s="32"/>
    </row>
    <row r="81" spans="1:29" s="6" customFormat="1" ht="20.100000000000001" customHeight="1" x14ac:dyDescent="0.2">
      <c r="A81" s="104" t="s">
        <v>79</v>
      </c>
      <c r="B81" s="104" t="s">
        <v>95</v>
      </c>
      <c r="C81" s="105"/>
      <c r="D81" s="106"/>
      <c r="E81" s="105"/>
      <c r="F81" s="104"/>
      <c r="G81" s="104"/>
      <c r="H81" s="32"/>
      <c r="I81" s="32"/>
      <c r="J81" s="32"/>
      <c r="K81" s="32"/>
      <c r="L81" s="32"/>
      <c r="P81" s="32"/>
      <c r="Q81" s="32"/>
    </row>
    <row r="82" spans="1:29" s="6" customFormat="1" ht="20.100000000000001" customHeight="1" x14ac:dyDescent="0.2">
      <c r="A82" s="104" t="s">
        <v>80</v>
      </c>
      <c r="B82" s="104" t="s">
        <v>96</v>
      </c>
      <c r="C82" s="105"/>
      <c r="D82" s="106"/>
      <c r="E82" s="105"/>
      <c r="F82" s="104"/>
      <c r="G82" s="104"/>
      <c r="H82" s="32"/>
      <c r="I82" s="32"/>
      <c r="J82" s="32"/>
      <c r="K82" s="32"/>
      <c r="L82" s="32"/>
      <c r="P82" s="32"/>
      <c r="Q82" s="32"/>
    </row>
    <row r="83" spans="1:29" s="6" customFormat="1" ht="20.100000000000001" customHeight="1" x14ac:dyDescent="0.2">
      <c r="A83" s="104" t="s">
        <v>81</v>
      </c>
      <c r="B83" s="104" t="s">
        <v>97</v>
      </c>
      <c r="C83" s="105"/>
      <c r="D83" s="106"/>
      <c r="E83" s="105"/>
      <c r="F83" s="104"/>
      <c r="G83" s="104"/>
      <c r="H83" s="32"/>
      <c r="I83" s="32"/>
      <c r="J83" s="32"/>
      <c r="K83" s="32"/>
      <c r="L83" s="32"/>
      <c r="P83" s="32"/>
      <c r="Q83" s="32"/>
    </row>
    <row r="84" spans="1:29" s="6" customFormat="1" ht="20.100000000000001" customHeight="1" x14ac:dyDescent="0.2">
      <c r="A84" s="104" t="s">
        <v>82</v>
      </c>
      <c r="B84" s="104" t="s">
        <v>254</v>
      </c>
      <c r="C84" s="105"/>
      <c r="D84" s="106"/>
      <c r="E84" s="105"/>
      <c r="F84" s="104"/>
      <c r="G84" s="104"/>
      <c r="H84" s="18"/>
      <c r="I84" s="32"/>
      <c r="J84" s="32"/>
      <c r="K84" s="32"/>
      <c r="L84" s="32"/>
      <c r="P84" s="32"/>
      <c r="Q84" s="32"/>
    </row>
    <row r="85" spans="1:29" s="6" customFormat="1" ht="20.100000000000001" customHeight="1" x14ac:dyDescent="0.2">
      <c r="A85" s="104" t="s">
        <v>83</v>
      </c>
      <c r="B85" s="104" t="s">
        <v>270</v>
      </c>
      <c r="C85" s="105"/>
      <c r="D85" s="105"/>
      <c r="E85" s="106"/>
      <c r="F85" s="104"/>
      <c r="G85" s="106"/>
      <c r="H85" s="32"/>
      <c r="I85" s="32"/>
      <c r="J85" s="32"/>
      <c r="K85" s="32"/>
      <c r="L85" s="32"/>
      <c r="P85" s="32"/>
      <c r="Q85" s="32"/>
    </row>
    <row r="86" spans="1:29" s="6" customFormat="1" ht="20.100000000000001" customHeight="1" x14ac:dyDescent="0.2">
      <c r="A86" s="107"/>
      <c r="B86" s="107"/>
      <c r="C86" s="107"/>
      <c r="D86" s="107"/>
      <c r="E86" s="107"/>
      <c r="F86" s="107"/>
      <c r="G86" s="107"/>
      <c r="P86" s="10"/>
      <c r="Q86" s="10"/>
      <c r="R86" s="10"/>
      <c r="S86" s="10"/>
      <c r="T86" s="10"/>
      <c r="U86" s="10"/>
      <c r="V86" s="10"/>
      <c r="W86" s="10"/>
      <c r="X86" s="10"/>
      <c r="Y86" s="10"/>
      <c r="Z86" s="10"/>
      <c r="AA86" s="10"/>
      <c r="AB86" s="10"/>
      <c r="AC86" s="10"/>
    </row>
    <row r="87" spans="1:29" s="6" customFormat="1" ht="35.25" customHeight="1" x14ac:dyDescent="0.2">
      <c r="A87" s="161" t="s">
        <v>255</v>
      </c>
      <c r="B87" s="161"/>
      <c r="C87" s="161"/>
      <c r="D87" s="161"/>
      <c r="E87" s="161"/>
      <c r="F87" s="161"/>
      <c r="G87" s="161"/>
    </row>
    <row r="88" spans="1:29" s="6" customFormat="1" ht="20.100000000000001" customHeight="1" x14ac:dyDescent="0.2"/>
    <row r="89" spans="1:29" s="6" customFormat="1" ht="20.100000000000001" customHeight="1" x14ac:dyDescent="0.2"/>
    <row r="90" spans="1:29" s="6" customFormat="1" ht="20.100000000000001" customHeight="1" x14ac:dyDescent="0.2"/>
    <row r="91" spans="1:29" s="6" customFormat="1" ht="20.100000000000001" customHeight="1" x14ac:dyDescent="0.2">
      <c r="B91" s="19"/>
      <c r="C91" s="20"/>
      <c r="D91" s="19"/>
      <c r="E91" s="19"/>
      <c r="F91" s="19"/>
      <c r="G91" s="20"/>
    </row>
    <row r="92" spans="1:29" s="6" customFormat="1" ht="20.100000000000001" customHeight="1" x14ac:dyDescent="0.2">
      <c r="B92" s="23"/>
      <c r="C92" s="24"/>
      <c r="D92" s="9"/>
      <c r="E92" s="17"/>
      <c r="F92" s="25"/>
      <c r="G92" s="9"/>
    </row>
    <row r="93" spans="1:29" s="6" customFormat="1" ht="20.100000000000001" customHeight="1" x14ac:dyDescent="0.2">
      <c r="B93" s="23"/>
      <c r="C93" s="24"/>
      <c r="D93" s="9"/>
      <c r="E93" s="17"/>
      <c r="F93" s="25"/>
      <c r="G93" s="9"/>
      <c r="H93" s="20"/>
      <c r="I93" s="20"/>
      <c r="J93" s="21"/>
      <c r="K93" s="22"/>
      <c r="L93" s="22"/>
      <c r="M93" s="22"/>
      <c r="N93" s="22"/>
      <c r="O93" s="20"/>
      <c r="P93" s="20"/>
      <c r="Q93" s="20"/>
      <c r="R93" s="20"/>
    </row>
    <row r="94" spans="1:29" s="6" customFormat="1" ht="20.100000000000001" customHeight="1" x14ac:dyDescent="0.2">
      <c r="B94" s="23"/>
      <c r="C94" s="24"/>
      <c r="D94" s="9"/>
      <c r="E94" s="17"/>
      <c r="F94" s="25"/>
      <c r="G94" s="9"/>
      <c r="H94" s="9"/>
    </row>
    <row r="95" spans="1:29" s="6" customFormat="1" ht="20.100000000000001" customHeight="1" x14ac:dyDescent="0.2">
      <c r="B95" s="23"/>
      <c r="C95" s="24"/>
      <c r="D95" s="9"/>
      <c r="E95" s="17"/>
      <c r="F95" s="25"/>
      <c r="G95" s="9"/>
      <c r="H95" s="9"/>
    </row>
    <row r="96" spans="1:29" s="6" customFormat="1" ht="20.100000000000001" customHeight="1" x14ac:dyDescent="0.2">
      <c r="A96" s="3"/>
      <c r="B96" s="26"/>
      <c r="C96" s="24"/>
      <c r="D96" s="27"/>
      <c r="E96" s="28"/>
      <c r="F96" s="25"/>
      <c r="G96" s="27"/>
      <c r="H96" s="9"/>
    </row>
    <row r="97" spans="1:8" s="6" customFormat="1" ht="20.100000000000001" customHeight="1" x14ac:dyDescent="0.2">
      <c r="A97" s="3"/>
      <c r="B97" s="26"/>
      <c r="C97" s="24"/>
      <c r="D97" s="27"/>
      <c r="E97" s="28"/>
      <c r="F97" s="25"/>
      <c r="G97" s="27"/>
      <c r="H97" s="9"/>
    </row>
  </sheetData>
  <sheetProtection password="DD2A" sheet="1" selectLockedCells="1"/>
  <mergeCells count="43">
    <mergeCell ref="C75:E76"/>
    <mergeCell ref="I63:I64"/>
    <mergeCell ref="B17:G17"/>
    <mergeCell ref="B18:G18"/>
    <mergeCell ref="C42:C43"/>
    <mergeCell ref="G42:G43"/>
    <mergeCell ref="I19:I22"/>
    <mergeCell ref="I24:I27"/>
    <mergeCell ref="B41:G41"/>
    <mergeCell ref="A87:G87"/>
    <mergeCell ref="B23:G23"/>
    <mergeCell ref="C63:F63"/>
    <mergeCell ref="C64:F64"/>
    <mergeCell ref="A62:F62"/>
    <mergeCell ref="C72:F74"/>
    <mergeCell ref="C69:F71"/>
    <mergeCell ref="A67:G67"/>
    <mergeCell ref="B47:G47"/>
    <mergeCell ref="B50:G50"/>
    <mergeCell ref="B54:G54"/>
    <mergeCell ref="A60:F60"/>
    <mergeCell ref="B56:G56"/>
    <mergeCell ref="B30:G30"/>
    <mergeCell ref="B32:G32"/>
    <mergeCell ref="B37:G37"/>
    <mergeCell ref="I8:I11"/>
    <mergeCell ref="I13:I16"/>
    <mergeCell ref="A1:G1"/>
    <mergeCell ref="A2:B2"/>
    <mergeCell ref="A3:B3"/>
    <mergeCell ref="C4:C5"/>
    <mergeCell ref="D4:D5"/>
    <mergeCell ref="E4:F4"/>
    <mergeCell ref="G4:G5"/>
    <mergeCell ref="E2:G2"/>
    <mergeCell ref="E3:G3"/>
    <mergeCell ref="A42:A43"/>
    <mergeCell ref="B42:B43"/>
    <mergeCell ref="A61:F61"/>
    <mergeCell ref="A63:B64"/>
    <mergeCell ref="B6:G6"/>
    <mergeCell ref="B7:G7"/>
    <mergeCell ref="B12:G12"/>
  </mergeCells>
  <conditionalFormatting sqref="G8:G11">
    <cfRule type="cellIs" dxfId="128" priority="26" operator="equal">
      <formula>""</formula>
    </cfRule>
    <cfRule type="notContainsText" dxfId="127" priority="27" operator="notContains" text="Eingabe bei Pkt. 1.2">
      <formula>ISERROR(SEARCH("Eingabe bei Pkt. 1.2",G8))</formula>
    </cfRule>
    <cfRule type="containsText" dxfId="126" priority="28" operator="containsText" text="Eingabe bei Pkt. 1.2">
      <formula>NOT(ISERROR(SEARCH("Eingabe bei Pkt. 1.2",G8)))</formula>
    </cfRule>
  </conditionalFormatting>
  <conditionalFormatting sqref="G13:G16">
    <cfRule type="cellIs" dxfId="125" priority="23" operator="equal">
      <formula>""</formula>
    </cfRule>
    <cfRule type="notContainsText" dxfId="124" priority="24" operator="notContains" text="Eingabe bei Pkt. 1.1">
      <formula>ISERROR(SEARCH("Eingabe bei Pkt. 1.1",G13))</formula>
    </cfRule>
    <cfRule type="containsText" dxfId="123" priority="25" operator="containsText" text="Eingabe bei Pkt. 1.1">
      <formula>NOT(ISERROR(SEARCH("Eingabe bei Pkt. 1.1",G13)))</formula>
    </cfRule>
  </conditionalFormatting>
  <conditionalFormatting sqref="G19:G22">
    <cfRule type="cellIs" dxfId="122" priority="8" operator="equal">
      <formula>""</formula>
    </cfRule>
    <cfRule type="notContainsText" dxfId="121" priority="9" operator="notContains" text="Eingabe bei Pkt. 1.3.2">
      <formula>ISERROR(SEARCH("Eingabe bei Pkt. 1.3.2",G19))</formula>
    </cfRule>
    <cfRule type="containsText" dxfId="120" priority="10" operator="containsText" text="Eingabe bei Pkt. 1.3.2">
      <formula>NOT(ISERROR(SEARCH("Eingabe bei Pkt. 1.3.2",G19)))</formula>
    </cfRule>
  </conditionalFormatting>
  <conditionalFormatting sqref="G24:G27">
    <cfRule type="containsText" dxfId="119" priority="16" operator="containsText" text="Eingabe bei Pkt. 1.3.1">
      <formula>NOT(ISERROR(SEARCH("Eingabe bei Pkt. 1.3.1",G24)))</formula>
    </cfRule>
    <cfRule type="notContainsText" dxfId="118" priority="15" operator="notContains" text="Eingabe bei Pkt. 1.3.1">
      <formula>ISERROR(SEARCH("Eingabe bei Pkt. 1.3.1",G24))</formula>
    </cfRule>
  </conditionalFormatting>
  <conditionalFormatting sqref="G24:G29">
    <cfRule type="cellIs" dxfId="117" priority="14" operator="equal">
      <formula>""</formula>
    </cfRule>
  </conditionalFormatting>
  <conditionalFormatting sqref="G28:G29">
    <cfRule type="cellIs" dxfId="116" priority="60" operator="notEqual">
      <formula>""</formula>
    </cfRule>
  </conditionalFormatting>
  <conditionalFormatting sqref="G31">
    <cfRule type="cellIs" dxfId="115" priority="57" operator="equal">
      <formula>""</formula>
    </cfRule>
    <cfRule type="cellIs" dxfId="114" priority="58" operator="notEqual">
      <formula>""</formula>
    </cfRule>
  </conditionalFormatting>
  <conditionalFormatting sqref="G33:G36">
    <cfRule type="cellIs" dxfId="113" priority="55" operator="equal">
      <formula>""</formula>
    </cfRule>
    <cfRule type="cellIs" dxfId="112" priority="56" operator="notEqual">
      <formula>""</formula>
    </cfRule>
  </conditionalFormatting>
  <conditionalFormatting sqref="G38:G40">
    <cfRule type="cellIs" dxfId="111" priority="54" operator="notEqual">
      <formula>""</formula>
    </cfRule>
    <cfRule type="cellIs" dxfId="110" priority="53" operator="equal">
      <formula>""</formula>
    </cfRule>
  </conditionalFormatting>
  <conditionalFormatting sqref="G42:G43">
    <cfRule type="cellIs" dxfId="109" priority="52" operator="notEqual">
      <formula>""</formula>
    </cfRule>
    <cfRule type="cellIs" dxfId="108" priority="51" operator="equal">
      <formula>""</formula>
    </cfRule>
  </conditionalFormatting>
  <conditionalFormatting sqref="G45:G46">
    <cfRule type="cellIs" dxfId="107" priority="50" operator="notEqual">
      <formula>""</formula>
    </cfRule>
    <cfRule type="cellIs" dxfId="106" priority="49" operator="equal">
      <formula>""</formula>
    </cfRule>
  </conditionalFormatting>
  <conditionalFormatting sqref="G48:G49">
    <cfRule type="cellIs" dxfId="105" priority="46" operator="notEqual">
      <formula>""</formula>
    </cfRule>
    <cfRule type="cellIs" dxfId="104" priority="45" operator="equal">
      <formula>""</formula>
    </cfRule>
  </conditionalFormatting>
  <conditionalFormatting sqref="G51:G53">
    <cfRule type="cellIs" dxfId="103" priority="42" operator="notEqual">
      <formula>""</formula>
    </cfRule>
    <cfRule type="cellIs" dxfId="102" priority="41" operator="equal">
      <formula>""</formula>
    </cfRule>
  </conditionalFormatting>
  <conditionalFormatting sqref="G55">
    <cfRule type="cellIs" dxfId="101" priority="40" operator="notEqual">
      <formula>""</formula>
    </cfRule>
    <cfRule type="cellIs" dxfId="100" priority="39" operator="equal">
      <formula>""</formula>
    </cfRule>
  </conditionalFormatting>
  <conditionalFormatting sqref="G58:G59">
    <cfRule type="cellIs" dxfId="99" priority="37" operator="equal">
      <formula>""</formula>
    </cfRule>
    <cfRule type="cellIs" dxfId="98" priority="38" operator="notEqual">
      <formula>""</formula>
    </cfRule>
  </conditionalFormatting>
  <conditionalFormatting sqref="G60:G65">
    <cfRule type="cellIs" dxfId="97" priority="1" operator="greaterThan">
      <formula>0</formula>
    </cfRule>
  </conditionalFormatting>
  <conditionalFormatting sqref="I8">
    <cfRule type="containsText" dxfId="96" priority="36" operator="containsText" text="Eingabe bei Pkt. 1.2">
      <formula>NOT(ISERROR(SEARCH("Eingabe bei Pkt. 1.2",I8)))</formula>
    </cfRule>
    <cfRule type="cellIs" dxfId="95" priority="35" operator="equal">
      <formula>""</formula>
    </cfRule>
  </conditionalFormatting>
  <conditionalFormatting sqref="I13">
    <cfRule type="containsText" dxfId="94" priority="34" operator="containsText" text="Eingabe bei Pkt. 1.1">
      <formula>NOT(ISERROR(SEARCH("Eingabe bei Pkt. 1.1",I13)))</formula>
    </cfRule>
    <cfRule type="cellIs" dxfId="93" priority="33" operator="equal">
      <formula>""</formula>
    </cfRule>
  </conditionalFormatting>
  <conditionalFormatting sqref="I19">
    <cfRule type="containsText" dxfId="92" priority="32" operator="containsText" text="Eingabe bei Pkt. 1.3.2">
      <formula>NOT(ISERROR(SEARCH("Eingabe bei Pkt. 1.3.2",I19)))</formula>
    </cfRule>
    <cfRule type="cellIs" dxfId="91" priority="31" operator="equal">
      <formula>""</formula>
    </cfRule>
  </conditionalFormatting>
  <conditionalFormatting sqref="I24">
    <cfRule type="containsText" dxfId="90" priority="30" operator="containsText" text="Eingabe bei Pkt. 1.3.1">
      <formula>NOT(ISERROR(SEARCH("Eingabe bei Pkt. 1.3.1",I24)))</formula>
    </cfRule>
    <cfRule type="cellIs" dxfId="89" priority="29" operator="equal">
      <formula>""</formula>
    </cfRule>
  </conditionalFormatting>
  <conditionalFormatting sqref="I61">
    <cfRule type="containsText" dxfId="88" priority="6" operator="containsText" text="Eingabe bei Pkt. 1.2">
      <formula>NOT(ISERROR(SEARCH("Eingabe bei Pkt. 1.2",I61)))</formula>
    </cfRule>
  </conditionalFormatting>
  <conditionalFormatting sqref="I61:I62">
    <cfRule type="cellIs" dxfId="87" priority="2" operator="equal">
      <formula>""</formula>
    </cfRule>
  </conditionalFormatting>
  <dataValidations count="2">
    <dataValidation type="whole" operator="greaterThan" allowBlank="1" showInputMessage="1" showErrorMessage="1" errorTitle="ACHTUNG" error="Anzahl muss eine GANZE ZAHL und größer 0 sein!" sqref="F55 F51:F53 F31 F8:F11 F13:F16 F19:F22 F24:F29 F33:F36 F38:F40 F42:F46 F48:F49 F57 F59" xr:uid="{00000000-0002-0000-0200-000000000000}">
      <formula1>0</formula1>
    </dataValidation>
    <dataValidation type="decimal" operator="greaterThan" allowBlank="1" showInputMessage="1" showErrorMessage="1" errorTitle="ACHTUNG" error="Anzahl muss eine GANZE ZAHL und größer 0 sein!" sqref="F58" xr:uid="{00000000-0002-0000-0200-000001000000}">
      <formula1>0</formula1>
    </dataValidation>
  </dataValidations>
  <pageMargins left="0.23622047244094491" right="0.23622047244094491" top="0.74803149606299213" bottom="0.74803149606299213" header="0.31496062992125984" footer="0.31496062992125984"/>
  <pageSetup paperSize="9" scale="66" fitToHeight="0" orientation="portrait" r:id="rId1"/>
  <headerFooter>
    <oddFooter>&amp;L&amp;9&amp;D, &amp;T&amp;C&amp;9Hauptsiedlungsgebiet&amp;R&amp;9Seite &amp;P von &amp;N
BFP V 2025-1</oddFooter>
  </headerFooter>
  <rowBreaks count="1" manualBreakCount="1">
    <brk id="40" max="6"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text="Eingabe bei Pkt. 1.2" id="{CB1723A4-D855-44BB-AD6A-22F9DADA2ACF}">
            <xm:f>NOT(ISERROR(SEARCH("Eingabe bei Pkt. 1.2",'Zentrales Hauptsiedlungsgebiet'!I62)))</xm:f>
            <x14:dxf>
              <font>
                <b/>
                <i val="0"/>
                <color theme="0"/>
              </font>
              <fill>
                <patternFill>
                  <bgColor rgb="FFFF0000"/>
                </patternFill>
              </fill>
            </x14:dxf>
          </x14:cfRule>
          <xm:sqref>I62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6"/>
    <pageSetUpPr fitToPage="1"/>
  </sheetPr>
  <dimension ref="A1:AC98"/>
  <sheetViews>
    <sheetView showGridLines="0" zoomScale="80" zoomScaleNormal="80" zoomScalePageLayoutView="55" workbookViewId="0">
      <pane ySplit="5" topLeftCell="A6" activePane="bottomLeft" state="frozen"/>
      <selection pane="bottomLeft" activeCell="F8" sqref="F8"/>
    </sheetView>
  </sheetViews>
  <sheetFormatPr baseColWidth="10" defaultColWidth="11" defaultRowHeight="14.25" x14ac:dyDescent="0.2"/>
  <cols>
    <col min="1" max="1" width="7.625" style="3" customWidth="1"/>
    <col min="2" max="2" width="47.875" style="26" bestFit="1" customWidth="1"/>
    <col min="3" max="3" width="35.125" style="24" customWidth="1"/>
    <col min="4" max="4" width="9.125" style="27" hidden="1" customWidth="1"/>
    <col min="5" max="5" width="15.625" style="28" customWidth="1"/>
    <col min="6" max="6" width="11.625" style="25" customWidth="1"/>
    <col min="7" max="7" width="19.625" style="27" customWidth="1"/>
    <col min="8" max="8" width="11.5" style="27" customWidth="1"/>
    <col min="9" max="9" width="54.625" style="3" customWidth="1"/>
    <col min="10" max="18" width="11.5" style="3" customWidth="1"/>
    <col min="19" max="16384" width="11" style="3"/>
  </cols>
  <sheetData>
    <row r="1" spans="1:10" ht="79.5" customHeight="1" thickBot="1" x14ac:dyDescent="0.25">
      <c r="A1" s="187" t="s">
        <v>156</v>
      </c>
      <c r="B1" s="188"/>
      <c r="C1" s="188"/>
      <c r="D1" s="188"/>
      <c r="E1" s="188"/>
      <c r="F1" s="188"/>
      <c r="G1" s="189"/>
    </row>
    <row r="2" spans="1:10" ht="15" x14ac:dyDescent="0.25">
      <c r="A2" s="141" t="s">
        <v>100</v>
      </c>
      <c r="B2" s="142"/>
      <c r="C2" s="93" t="s">
        <v>101</v>
      </c>
      <c r="D2" s="94"/>
      <c r="E2" s="143" t="s">
        <v>102</v>
      </c>
      <c r="F2" s="144"/>
      <c r="G2" s="145"/>
    </row>
    <row r="3" spans="1:10" ht="39.75" customHeight="1" thickBot="1" x14ac:dyDescent="0.25">
      <c r="A3" s="139"/>
      <c r="B3" s="140"/>
      <c r="C3" s="95"/>
      <c r="D3" s="96"/>
      <c r="E3" s="139"/>
      <c r="F3" s="186"/>
      <c r="G3" s="140"/>
    </row>
    <row r="4" spans="1:10" ht="15" x14ac:dyDescent="0.2">
      <c r="A4" s="81"/>
      <c r="B4" s="82"/>
      <c r="C4" s="131" t="s">
        <v>250</v>
      </c>
      <c r="D4" s="125"/>
      <c r="E4" s="127" t="s">
        <v>64</v>
      </c>
      <c r="F4" s="128"/>
      <c r="G4" s="129" t="s">
        <v>65</v>
      </c>
    </row>
    <row r="5" spans="1:10" ht="19.5" customHeight="1" thickBot="1" x14ac:dyDescent="0.25">
      <c r="A5" s="83"/>
      <c r="B5" s="84"/>
      <c r="C5" s="132"/>
      <c r="D5" s="126"/>
      <c r="E5" s="85" t="s">
        <v>62</v>
      </c>
      <c r="F5" s="86" t="s">
        <v>60</v>
      </c>
      <c r="G5" s="130"/>
    </row>
    <row r="6" spans="1:10" ht="35.1" customHeight="1" thickBot="1" x14ac:dyDescent="0.25">
      <c r="A6" s="54" t="s">
        <v>1</v>
      </c>
      <c r="B6" s="133" t="s">
        <v>7</v>
      </c>
      <c r="C6" s="134"/>
      <c r="D6" s="134"/>
      <c r="E6" s="134"/>
      <c r="F6" s="134"/>
      <c r="G6" s="135"/>
      <c r="H6" s="1"/>
      <c r="I6" s="2"/>
      <c r="J6" s="2"/>
    </row>
    <row r="7" spans="1:10" ht="20.100000000000001" customHeight="1" x14ac:dyDescent="0.2">
      <c r="A7" s="118" t="s">
        <v>56</v>
      </c>
      <c r="B7" s="149" t="s">
        <v>260</v>
      </c>
      <c r="C7" s="150"/>
      <c r="D7" s="150"/>
      <c r="E7" s="150"/>
      <c r="F7" s="150"/>
      <c r="G7" s="151"/>
      <c r="H7" s="1"/>
      <c r="I7" s="4"/>
      <c r="J7" s="2"/>
    </row>
    <row r="8" spans="1:10" s="6" customFormat="1" ht="20.100000000000001" customHeight="1" x14ac:dyDescent="0.2">
      <c r="A8" s="36" t="s">
        <v>104</v>
      </c>
      <c r="B8" s="37" t="s">
        <v>105</v>
      </c>
      <c r="C8" s="38" t="s">
        <v>215</v>
      </c>
      <c r="D8" s="90">
        <v>1</v>
      </c>
      <c r="E8" s="39" t="s">
        <v>82</v>
      </c>
      <c r="F8" s="31"/>
      <c r="G8" s="40" t="str">
        <f>IF(F8="","",IF(SUM($F$8:$F$11)&gt;6,"",F8*D8))</f>
        <v/>
      </c>
      <c r="H8" s="5"/>
      <c r="I8" s="180" t="str">
        <f>IF(SUM(F8:F11)&gt;6,"ACHTUNG:" &amp; CHAR(10) &amp; "Es wurden mehr als 6 WE eingegeben!" &amp; CHAR(10) &amp; "Eingabe bei Pkt. 1.2","")</f>
        <v/>
      </c>
    </row>
    <row r="9" spans="1:10" s="6" customFormat="1" ht="20.100000000000001" customHeight="1" x14ac:dyDescent="0.2">
      <c r="A9" s="36" t="s">
        <v>106</v>
      </c>
      <c r="B9" s="41" t="s">
        <v>109</v>
      </c>
      <c r="C9" s="42" t="s">
        <v>214</v>
      </c>
      <c r="D9" s="90">
        <v>1.5</v>
      </c>
      <c r="E9" s="43" t="s">
        <v>82</v>
      </c>
      <c r="F9" s="29"/>
      <c r="G9" s="40" t="str">
        <f>IF(F9="","",IF(SUM($F$8:$F$11)&gt;6,"",F9*D9))</f>
        <v/>
      </c>
      <c r="H9" s="5"/>
      <c r="I9" s="180"/>
    </row>
    <row r="10" spans="1:10" s="6" customFormat="1" ht="20.100000000000001" customHeight="1" x14ac:dyDescent="0.2">
      <c r="A10" s="36" t="s">
        <v>107</v>
      </c>
      <c r="B10" s="41" t="s">
        <v>110</v>
      </c>
      <c r="C10" s="42" t="s">
        <v>216</v>
      </c>
      <c r="D10" s="90">
        <v>1.7</v>
      </c>
      <c r="E10" s="43" t="s">
        <v>82</v>
      </c>
      <c r="F10" s="29"/>
      <c r="G10" s="40" t="str">
        <f>IF(F10="","",IF(SUM($F$8:$F$11)&gt;6,"",F10*D10))</f>
        <v/>
      </c>
      <c r="H10" s="7"/>
      <c r="I10" s="180"/>
    </row>
    <row r="11" spans="1:10" s="6" customFormat="1" ht="20.100000000000001" customHeight="1" x14ac:dyDescent="0.2">
      <c r="A11" s="36" t="s">
        <v>108</v>
      </c>
      <c r="B11" s="41" t="s">
        <v>115</v>
      </c>
      <c r="C11" s="42" t="s">
        <v>217</v>
      </c>
      <c r="D11" s="90">
        <v>2</v>
      </c>
      <c r="E11" s="43" t="s">
        <v>82</v>
      </c>
      <c r="F11" s="29"/>
      <c r="G11" s="40" t="str">
        <f>IF(F11="","",IF(SUM($F$8:$F$11)&gt;6,"",F11*D11))</f>
        <v/>
      </c>
      <c r="H11" s="7"/>
      <c r="I11" s="180"/>
    </row>
    <row r="12" spans="1:10" s="6" customFormat="1" ht="20.100000000000001" customHeight="1" x14ac:dyDescent="0.2">
      <c r="A12" s="117" t="s">
        <v>2</v>
      </c>
      <c r="B12" s="152" t="s">
        <v>261</v>
      </c>
      <c r="C12" s="153"/>
      <c r="D12" s="153"/>
      <c r="E12" s="153"/>
      <c r="F12" s="153"/>
      <c r="G12" s="154"/>
      <c r="H12" s="7"/>
    </row>
    <row r="13" spans="1:10" s="6" customFormat="1" ht="20.100000000000001" customHeight="1" x14ac:dyDescent="0.2">
      <c r="A13" s="36" t="s">
        <v>111</v>
      </c>
      <c r="B13" s="41" t="s">
        <v>105</v>
      </c>
      <c r="C13" s="42" t="s">
        <v>238</v>
      </c>
      <c r="D13" s="90">
        <f>1 * 0.85</f>
        <v>0.85</v>
      </c>
      <c r="E13" s="43" t="s">
        <v>82</v>
      </c>
      <c r="F13" s="29"/>
      <c r="G13" s="44" t="str">
        <f>IF(F13="","",IF(SUM($F$13:$F$16)&gt;6,F13*D13,""))</f>
        <v/>
      </c>
      <c r="H13" s="7"/>
      <c r="I13" s="180" t="str">
        <f>IF(AND(F13="",F14="",F15="",F16=""),"",IF(SUM(F13:F16)&gt;6,"","ACHTUNG:" &amp; CHAR(10) &amp; "Kontrollieren Sie bitte ob es sich um eine Wohnanlage handelt!" &amp; CHAR(10) &amp; "Eingabe bei Pkt. 1.1"))</f>
        <v/>
      </c>
    </row>
    <row r="14" spans="1:10" s="6" customFormat="1" ht="20.100000000000001" customHeight="1" x14ac:dyDescent="0.2">
      <c r="A14" s="36" t="s">
        <v>112</v>
      </c>
      <c r="B14" s="41" t="s">
        <v>109</v>
      </c>
      <c r="C14" s="42" t="s">
        <v>239</v>
      </c>
      <c r="D14" s="90">
        <f>1.5 * 0.85</f>
        <v>1.2749999999999999</v>
      </c>
      <c r="E14" s="43" t="s">
        <v>82</v>
      </c>
      <c r="F14" s="29"/>
      <c r="G14" s="44" t="str">
        <f>IF(F14="","",IF(SUM($F$13:$F$16)&gt;6,F14*D14,""))</f>
        <v/>
      </c>
      <c r="H14" s="7"/>
      <c r="I14" s="180"/>
    </row>
    <row r="15" spans="1:10" s="6" customFormat="1" ht="20.100000000000001" customHeight="1" x14ac:dyDescent="0.2">
      <c r="A15" s="36" t="s">
        <v>113</v>
      </c>
      <c r="B15" s="41" t="s">
        <v>110</v>
      </c>
      <c r="C15" s="42" t="s">
        <v>230</v>
      </c>
      <c r="D15" s="90">
        <f>1.7 * 0.85</f>
        <v>1.4449999999999998</v>
      </c>
      <c r="E15" s="43" t="s">
        <v>82</v>
      </c>
      <c r="F15" s="29"/>
      <c r="G15" s="44" t="str">
        <f>IF(F15="","",IF(SUM($F$13:$F$16)&gt;6,F15*D15,""))</f>
        <v/>
      </c>
      <c r="H15" s="7"/>
      <c r="I15" s="180"/>
    </row>
    <row r="16" spans="1:10" s="6" customFormat="1" ht="20.100000000000001" customHeight="1" x14ac:dyDescent="0.2">
      <c r="A16" s="36" t="s">
        <v>114</v>
      </c>
      <c r="B16" s="41" t="s">
        <v>115</v>
      </c>
      <c r="C16" s="42" t="s">
        <v>240</v>
      </c>
      <c r="D16" s="90">
        <f>2 * 0.85</f>
        <v>1.7</v>
      </c>
      <c r="E16" s="43" t="s">
        <v>82</v>
      </c>
      <c r="F16" s="29"/>
      <c r="G16" s="44" t="str">
        <f>IF(F16="","",IF(SUM($F$13:$F$16)&gt;6,F16*D16,""))</f>
        <v/>
      </c>
      <c r="H16" s="7"/>
      <c r="I16" s="180"/>
    </row>
    <row r="17" spans="1:9" s="6" customFormat="1" ht="20.100000000000001" customHeight="1" x14ac:dyDescent="0.2">
      <c r="A17" s="117" t="s">
        <v>3</v>
      </c>
      <c r="B17" s="149" t="s">
        <v>120</v>
      </c>
      <c r="C17" s="150"/>
      <c r="D17" s="150"/>
      <c r="E17" s="150"/>
      <c r="F17" s="150"/>
      <c r="G17" s="151"/>
      <c r="H17" s="7"/>
    </row>
    <row r="18" spans="1:9" s="6" customFormat="1" ht="20.100000000000001" customHeight="1" x14ac:dyDescent="0.2">
      <c r="A18" s="45" t="s">
        <v>116</v>
      </c>
      <c r="B18" s="158" t="s">
        <v>118</v>
      </c>
      <c r="C18" s="159"/>
      <c r="D18" s="159"/>
      <c r="E18" s="159"/>
      <c r="F18" s="159"/>
      <c r="G18" s="160"/>
      <c r="H18" s="7"/>
    </row>
    <row r="19" spans="1:9" s="6" customFormat="1" ht="20.100000000000001" customHeight="1" x14ac:dyDescent="0.2">
      <c r="A19" s="36" t="s">
        <v>121</v>
      </c>
      <c r="B19" s="41" t="s">
        <v>105</v>
      </c>
      <c r="C19" s="42" t="s">
        <v>233</v>
      </c>
      <c r="D19" s="90">
        <f>1*0.75</f>
        <v>0.75</v>
      </c>
      <c r="E19" s="43" t="s">
        <v>82</v>
      </c>
      <c r="F19" s="29"/>
      <c r="G19" s="44" t="str">
        <f>IF(F19="","",IF(SUM($F$19:$F$22)&gt;5,"",F19*D19))</f>
        <v/>
      </c>
      <c r="H19" s="7"/>
      <c r="I19" s="180" t="str">
        <f>IF(SUM(F19:F22)&gt;5,"ACHTUNG:" &amp; CHAR(10) &amp; "Es wurden mehr als 5 WE eingegeben!" &amp; CHAR(10) &amp; "Eingabe bei Pkt. 1.3.2","")</f>
        <v/>
      </c>
    </row>
    <row r="20" spans="1:9" s="6" customFormat="1" ht="20.100000000000001" customHeight="1" x14ac:dyDescent="0.2">
      <c r="A20" s="36" t="s">
        <v>122</v>
      </c>
      <c r="B20" s="41" t="s">
        <v>109</v>
      </c>
      <c r="C20" s="42" t="s">
        <v>234</v>
      </c>
      <c r="D20" s="90">
        <f>1.5 * 0.75</f>
        <v>1.125</v>
      </c>
      <c r="E20" s="43" t="s">
        <v>82</v>
      </c>
      <c r="F20" s="29"/>
      <c r="G20" s="44" t="str">
        <f t="shared" ref="G20:G22" si="0">IF(F20="","",IF(SUM($F$19:$F$22)&gt;5,"",F20*D20))</f>
        <v/>
      </c>
      <c r="H20" s="7"/>
      <c r="I20" s="180"/>
    </row>
    <row r="21" spans="1:9" s="6" customFormat="1" ht="20.100000000000001" customHeight="1" x14ac:dyDescent="0.2">
      <c r="A21" s="36" t="s">
        <v>123</v>
      </c>
      <c r="B21" s="41" t="s">
        <v>110</v>
      </c>
      <c r="C21" s="42" t="s">
        <v>222</v>
      </c>
      <c r="D21" s="90">
        <f>1.7 * 0.75</f>
        <v>1.2749999999999999</v>
      </c>
      <c r="E21" s="43" t="s">
        <v>82</v>
      </c>
      <c r="F21" s="29"/>
      <c r="G21" s="44" t="str">
        <f t="shared" si="0"/>
        <v/>
      </c>
      <c r="H21" s="7"/>
      <c r="I21" s="180"/>
    </row>
    <row r="22" spans="1:9" s="6" customFormat="1" ht="20.100000000000001" customHeight="1" x14ac:dyDescent="0.2">
      <c r="A22" s="36" t="s">
        <v>124</v>
      </c>
      <c r="B22" s="41" t="s">
        <v>115</v>
      </c>
      <c r="C22" s="42" t="s">
        <v>235</v>
      </c>
      <c r="D22" s="90">
        <f>2*0.75</f>
        <v>1.5</v>
      </c>
      <c r="E22" s="43" t="s">
        <v>82</v>
      </c>
      <c r="F22" s="29"/>
      <c r="G22" s="44" t="str">
        <f t="shared" si="0"/>
        <v/>
      </c>
      <c r="H22" s="7"/>
      <c r="I22" s="180"/>
    </row>
    <row r="23" spans="1:9" s="6" customFormat="1" ht="20.100000000000001" customHeight="1" x14ac:dyDescent="0.2">
      <c r="A23" s="45" t="s">
        <v>117</v>
      </c>
      <c r="B23" s="155" t="s">
        <v>119</v>
      </c>
      <c r="C23" s="156"/>
      <c r="D23" s="156"/>
      <c r="E23" s="156"/>
      <c r="F23" s="156"/>
      <c r="G23" s="157"/>
      <c r="H23" s="7"/>
    </row>
    <row r="24" spans="1:9" s="6" customFormat="1" ht="20.100000000000001" customHeight="1" x14ac:dyDescent="0.2">
      <c r="A24" s="36" t="s">
        <v>125</v>
      </c>
      <c r="B24" s="41" t="s">
        <v>105</v>
      </c>
      <c r="C24" s="42" t="s">
        <v>246</v>
      </c>
      <c r="D24" s="90">
        <f>1 * 0.65</f>
        <v>0.65</v>
      </c>
      <c r="E24" s="43" t="s">
        <v>82</v>
      </c>
      <c r="F24" s="29"/>
      <c r="G24" s="44" t="str">
        <f>IF(F24="","",IF(SUM($F$24:$F$29)&gt;5,F24*D24,""))</f>
        <v/>
      </c>
      <c r="H24" s="7"/>
      <c r="I24" s="180" t="str">
        <f>IF(AND(F24="",F25="",F26="",F27=""),"",IF(SUM(F24:F27)&gt;5,"","ACHTUNG:" &amp; CHAR(10) &amp; "Kontrollieren Sie bitte ob es sich um eine Wohnanlage handelt!" &amp; CHAR(10) &amp; "Eingabe bei Pkt. 1.3.1"))</f>
        <v/>
      </c>
    </row>
    <row r="25" spans="1:9" s="6" customFormat="1" ht="20.100000000000001" customHeight="1" x14ac:dyDescent="0.2">
      <c r="A25" s="36" t="s">
        <v>126</v>
      </c>
      <c r="B25" s="41" t="s">
        <v>109</v>
      </c>
      <c r="C25" s="42" t="s">
        <v>236</v>
      </c>
      <c r="D25" s="90">
        <f>1.5*0.65</f>
        <v>0.97500000000000009</v>
      </c>
      <c r="E25" s="43" t="s">
        <v>82</v>
      </c>
      <c r="F25" s="29"/>
      <c r="G25" s="44" t="str">
        <f t="shared" ref="G25:G27" si="1">IF(F25="","",IF(SUM($F$24:$F$29)&gt;5,F25*D25,""))</f>
        <v/>
      </c>
      <c r="H25" s="7"/>
      <c r="I25" s="180"/>
    </row>
    <row r="26" spans="1:9" s="6" customFormat="1" ht="20.100000000000001" customHeight="1" x14ac:dyDescent="0.2">
      <c r="A26" s="36" t="s">
        <v>127</v>
      </c>
      <c r="B26" s="41" t="s">
        <v>110</v>
      </c>
      <c r="C26" s="42" t="s">
        <v>226</v>
      </c>
      <c r="D26" s="90">
        <f>1.7*0.65</f>
        <v>1.105</v>
      </c>
      <c r="E26" s="43" t="s">
        <v>82</v>
      </c>
      <c r="F26" s="29"/>
      <c r="G26" s="44" t="str">
        <f t="shared" si="1"/>
        <v/>
      </c>
      <c r="H26" s="7"/>
      <c r="I26" s="180"/>
    </row>
    <row r="27" spans="1:9" s="6" customFormat="1" ht="20.100000000000001" customHeight="1" x14ac:dyDescent="0.2">
      <c r="A27" s="36" t="s">
        <v>128</v>
      </c>
      <c r="B27" s="41" t="s">
        <v>115</v>
      </c>
      <c r="C27" s="42" t="s">
        <v>237</v>
      </c>
      <c r="D27" s="90">
        <f>2*0.65</f>
        <v>1.3</v>
      </c>
      <c r="E27" s="43" t="s">
        <v>82</v>
      </c>
      <c r="F27" s="29"/>
      <c r="G27" s="44" t="str">
        <f t="shared" si="1"/>
        <v/>
      </c>
      <c r="H27" s="7"/>
      <c r="I27" s="180"/>
    </row>
    <row r="28" spans="1:9" s="6" customFormat="1" ht="30" customHeight="1" x14ac:dyDescent="0.2">
      <c r="A28" s="45" t="s">
        <v>5</v>
      </c>
      <c r="B28" s="46" t="s">
        <v>4</v>
      </c>
      <c r="C28" s="47" t="s">
        <v>158</v>
      </c>
      <c r="D28" s="90">
        <f>1/20</f>
        <v>0.05</v>
      </c>
      <c r="E28" s="43" t="s">
        <v>200</v>
      </c>
      <c r="F28" s="29"/>
      <c r="G28" s="44" t="str">
        <f>IF(F28="","",IF(F28*D28&lt;2,2,F28*D28))</f>
        <v/>
      </c>
      <c r="H28" s="8"/>
      <c r="I28" s="107" t="s">
        <v>269</v>
      </c>
    </row>
    <row r="29" spans="1:9" s="6" customFormat="1" ht="30" customHeight="1" thickBot="1" x14ac:dyDescent="0.25">
      <c r="A29" s="49" t="s">
        <v>99</v>
      </c>
      <c r="B29" s="50" t="s">
        <v>6</v>
      </c>
      <c r="C29" s="51" t="s">
        <v>177</v>
      </c>
      <c r="D29" s="90">
        <f>1/3</f>
        <v>0.33333333333333331</v>
      </c>
      <c r="E29" s="52" t="s">
        <v>200</v>
      </c>
      <c r="F29" s="33"/>
      <c r="G29" s="53" t="str">
        <f>IF(F29="","",IF(F29*D29&lt;2,2,F29*D29))</f>
        <v/>
      </c>
      <c r="H29" s="7"/>
      <c r="I29" s="124">
        <f>ROUND(SUM(G8:G11,G13:G16,G19:G22,G24:G29),0)</f>
        <v>0</v>
      </c>
    </row>
    <row r="30" spans="1:9" s="6" customFormat="1" ht="35.1" customHeight="1" thickBot="1" x14ac:dyDescent="0.25">
      <c r="A30" s="54" t="s">
        <v>8</v>
      </c>
      <c r="B30" s="133" t="s">
        <v>0</v>
      </c>
      <c r="C30" s="134"/>
      <c r="D30" s="134"/>
      <c r="E30" s="134"/>
      <c r="F30" s="134"/>
      <c r="G30" s="135"/>
      <c r="H30" s="7"/>
    </row>
    <row r="31" spans="1:9" s="6" customFormat="1" ht="50.1" customHeight="1" thickBot="1" x14ac:dyDescent="0.25">
      <c r="A31" s="55" t="s">
        <v>9</v>
      </c>
      <c r="B31" s="56" t="s">
        <v>133</v>
      </c>
      <c r="C31" s="57" t="s">
        <v>189</v>
      </c>
      <c r="D31" s="90">
        <f>1/40</f>
        <v>2.5000000000000001E-2</v>
      </c>
      <c r="E31" s="58" t="s">
        <v>201</v>
      </c>
      <c r="F31" s="34"/>
      <c r="G31" s="59" t="str">
        <f>IF(F31="","",IF(F31*D31&lt;2,2,F31*D31))</f>
        <v/>
      </c>
      <c r="H31" s="7"/>
    </row>
    <row r="32" spans="1:9" s="6" customFormat="1" ht="35.1" customHeight="1" thickBot="1" x14ac:dyDescent="0.25">
      <c r="A32" s="54" t="s">
        <v>10</v>
      </c>
      <c r="B32" s="133" t="s">
        <v>11</v>
      </c>
      <c r="C32" s="134"/>
      <c r="D32" s="134"/>
      <c r="E32" s="134"/>
      <c r="F32" s="134"/>
      <c r="G32" s="135"/>
      <c r="H32" s="7"/>
    </row>
    <row r="33" spans="1:8" s="6" customFormat="1" ht="30" customHeight="1" x14ac:dyDescent="0.2">
      <c r="A33" s="60" t="s">
        <v>12</v>
      </c>
      <c r="B33" s="61" t="s">
        <v>17</v>
      </c>
      <c r="C33" s="62" t="s">
        <v>141</v>
      </c>
      <c r="D33" s="90">
        <f>1/20</f>
        <v>0.05</v>
      </c>
      <c r="E33" s="39" t="s">
        <v>202</v>
      </c>
      <c r="F33" s="31"/>
      <c r="G33" s="40" t="str">
        <f>IF(F33="","",IF(F33*D33&lt;2,2,F33*D33))</f>
        <v/>
      </c>
      <c r="H33" s="7"/>
    </row>
    <row r="34" spans="1:8" s="6" customFormat="1" ht="30" customHeight="1" x14ac:dyDescent="0.2">
      <c r="A34" s="63" t="s">
        <v>13</v>
      </c>
      <c r="B34" s="64" t="s">
        <v>134</v>
      </c>
      <c r="C34" s="51" t="s">
        <v>162</v>
      </c>
      <c r="D34" s="90">
        <f>1/15</f>
        <v>6.6666666666666666E-2</v>
      </c>
      <c r="E34" s="43" t="s">
        <v>202</v>
      </c>
      <c r="F34" s="29"/>
      <c r="G34" s="44" t="str">
        <f>IF(F34="","",IF(F34*D34&lt;2,2,F34*D34))</f>
        <v/>
      </c>
      <c r="H34" s="7"/>
    </row>
    <row r="35" spans="1:8" s="6" customFormat="1" ht="34.5" customHeight="1" x14ac:dyDescent="0.2">
      <c r="A35" s="65" t="s">
        <v>14</v>
      </c>
      <c r="B35" s="103" t="s">
        <v>252</v>
      </c>
      <c r="C35" s="51" t="s">
        <v>162</v>
      </c>
      <c r="D35" s="90">
        <f>1/15</f>
        <v>6.6666666666666666E-2</v>
      </c>
      <c r="E35" s="43" t="s">
        <v>202</v>
      </c>
      <c r="F35" s="29"/>
      <c r="G35" s="44" t="str">
        <f>IF(F35="","",IF(F35*D35&lt;2,2,F35*D35))</f>
        <v/>
      </c>
      <c r="H35" s="8"/>
    </row>
    <row r="36" spans="1:8" s="6" customFormat="1" ht="30" customHeight="1" thickBot="1" x14ac:dyDescent="0.25">
      <c r="A36" s="70" t="s">
        <v>16</v>
      </c>
      <c r="B36" s="50" t="s">
        <v>18</v>
      </c>
      <c r="C36" s="71" t="s">
        <v>163</v>
      </c>
      <c r="D36" s="90">
        <f>1/100</f>
        <v>0.01</v>
      </c>
      <c r="E36" s="52" t="s">
        <v>203</v>
      </c>
      <c r="F36" s="33"/>
      <c r="G36" s="53" t="str">
        <f>IF(F36="","",F36*D36)</f>
        <v/>
      </c>
      <c r="H36" s="8"/>
    </row>
    <row r="37" spans="1:8" s="6" customFormat="1" ht="35.1" customHeight="1" thickBot="1" x14ac:dyDescent="0.25">
      <c r="A37" s="54" t="s">
        <v>19</v>
      </c>
      <c r="B37" s="133" t="s">
        <v>20</v>
      </c>
      <c r="C37" s="134"/>
      <c r="D37" s="134"/>
      <c r="E37" s="134"/>
      <c r="F37" s="134"/>
      <c r="G37" s="135"/>
      <c r="H37" s="8"/>
    </row>
    <row r="38" spans="1:8" s="6" customFormat="1" ht="30" customHeight="1" x14ac:dyDescent="0.2">
      <c r="A38" s="72" t="s">
        <v>21</v>
      </c>
      <c r="B38" s="61" t="s">
        <v>22</v>
      </c>
      <c r="C38" s="47" t="s">
        <v>190</v>
      </c>
      <c r="D38" s="90">
        <f>1/8</f>
        <v>0.125</v>
      </c>
      <c r="E38" s="43" t="s">
        <v>204</v>
      </c>
      <c r="F38" s="29"/>
      <c r="G38" s="53" t="str">
        <f>IF(F38="","",IF(F38*D38&lt;2,2,F38*D38))</f>
        <v/>
      </c>
      <c r="H38" s="7"/>
    </row>
    <row r="39" spans="1:8" s="6" customFormat="1" ht="30" customHeight="1" x14ac:dyDescent="0.2">
      <c r="A39" s="69" t="s">
        <v>23</v>
      </c>
      <c r="B39" s="46" t="s">
        <v>24</v>
      </c>
      <c r="C39" s="47" t="s">
        <v>191</v>
      </c>
      <c r="D39" s="90">
        <f>1/3</f>
        <v>0.33333333333333331</v>
      </c>
      <c r="E39" s="43" t="s">
        <v>200</v>
      </c>
      <c r="F39" s="29"/>
      <c r="G39" s="53" t="str">
        <f>IF(F39="","",IF(F39*D39&lt;2,2,F39*D39))</f>
        <v/>
      </c>
      <c r="H39" s="7"/>
    </row>
    <row r="40" spans="1:8" s="6" customFormat="1" ht="30" customHeight="1" thickBot="1" x14ac:dyDescent="0.25">
      <c r="A40" s="70" t="s">
        <v>25</v>
      </c>
      <c r="B40" s="50" t="s">
        <v>26</v>
      </c>
      <c r="C40" s="51" t="s">
        <v>192</v>
      </c>
      <c r="D40" s="90">
        <f>1/10</f>
        <v>0.1</v>
      </c>
      <c r="E40" s="52" t="s">
        <v>200</v>
      </c>
      <c r="F40" s="33"/>
      <c r="G40" s="53" t="str">
        <f>IF(F40="","",IF(F40*D40&lt;2,2,F40*D40))</f>
        <v/>
      </c>
      <c r="H40" s="7"/>
    </row>
    <row r="41" spans="1:8" s="6" customFormat="1" ht="35.1" customHeight="1" thickBot="1" x14ac:dyDescent="0.25">
      <c r="A41" s="54" t="s">
        <v>27</v>
      </c>
      <c r="B41" s="133" t="s">
        <v>28</v>
      </c>
      <c r="C41" s="134"/>
      <c r="D41" s="134"/>
      <c r="E41" s="134"/>
      <c r="F41" s="134"/>
      <c r="G41" s="135"/>
      <c r="H41" s="7"/>
    </row>
    <row r="42" spans="1:8" s="6" customFormat="1" ht="24.95" customHeight="1" x14ac:dyDescent="0.2">
      <c r="A42" s="162" t="s">
        <v>29</v>
      </c>
      <c r="B42" s="166" t="s">
        <v>30</v>
      </c>
      <c r="C42" s="164" t="s">
        <v>193</v>
      </c>
      <c r="D42" s="90">
        <f>1/200</f>
        <v>5.0000000000000001E-3</v>
      </c>
      <c r="E42" s="43" t="s">
        <v>201</v>
      </c>
      <c r="F42" s="29"/>
      <c r="G42" s="168" t="str">
        <f>IF(F42="","",IF(F43="","",IF(F42*D42+F43*D43&lt;2,2,F42*D42+F43*D43)))</f>
        <v/>
      </c>
      <c r="H42" s="7"/>
    </row>
    <row r="43" spans="1:8" s="6" customFormat="1" ht="24.95" customHeight="1" x14ac:dyDescent="0.2">
      <c r="A43" s="163"/>
      <c r="B43" s="167"/>
      <c r="C43" s="165"/>
      <c r="D43" s="90">
        <f>1/2</f>
        <v>0.5</v>
      </c>
      <c r="E43" s="43" t="s">
        <v>68</v>
      </c>
      <c r="F43" s="29"/>
      <c r="G43" s="169"/>
      <c r="H43" s="8"/>
    </row>
    <row r="44" spans="1:8" s="6" customFormat="1" ht="33.75" hidden="1" customHeight="1" x14ac:dyDescent="0.2">
      <c r="A44" s="69" t="s">
        <v>31</v>
      </c>
      <c r="B44" s="46" t="s">
        <v>32</v>
      </c>
      <c r="C44" s="47" t="s">
        <v>57</v>
      </c>
      <c r="D44" s="90">
        <v>1.2500000000000001E-2</v>
      </c>
      <c r="E44" s="43" t="s">
        <v>61</v>
      </c>
      <c r="F44" s="29"/>
      <c r="G44" s="73" t="str">
        <f>IF($F$44="","",$F$44*$D$44)</f>
        <v/>
      </c>
      <c r="H44" s="8"/>
    </row>
    <row r="45" spans="1:8" s="6" customFormat="1" ht="20.100000000000001" customHeight="1" x14ac:dyDescent="0.2">
      <c r="A45" s="69" t="s">
        <v>31</v>
      </c>
      <c r="B45" s="46" t="s">
        <v>32</v>
      </c>
      <c r="C45" s="42" t="s">
        <v>194</v>
      </c>
      <c r="D45" s="90">
        <f>1/150</f>
        <v>6.6666666666666671E-3</v>
      </c>
      <c r="E45" s="43" t="s">
        <v>205</v>
      </c>
      <c r="F45" s="29"/>
      <c r="G45" s="53" t="str">
        <f>IF(F45="","",F45*D45)</f>
        <v/>
      </c>
      <c r="H45" s="8"/>
    </row>
    <row r="46" spans="1:8" s="6" customFormat="1" ht="20.100000000000001" customHeight="1" thickBot="1" x14ac:dyDescent="0.25">
      <c r="A46" s="70" t="s">
        <v>33</v>
      </c>
      <c r="B46" s="50" t="s">
        <v>34</v>
      </c>
      <c r="C46" s="51" t="s">
        <v>58</v>
      </c>
      <c r="D46" s="90">
        <v>2</v>
      </c>
      <c r="E46" s="52" t="s">
        <v>34</v>
      </c>
      <c r="F46" s="33"/>
      <c r="G46" s="53" t="str">
        <f>IF(F46="","",F46*D46)</f>
        <v/>
      </c>
      <c r="H46" s="8"/>
    </row>
    <row r="47" spans="1:8" s="6" customFormat="1" ht="35.1" customHeight="1" thickBot="1" x14ac:dyDescent="0.25">
      <c r="A47" s="54" t="s">
        <v>35</v>
      </c>
      <c r="B47" s="133" t="s">
        <v>36</v>
      </c>
      <c r="C47" s="134"/>
      <c r="D47" s="134"/>
      <c r="E47" s="134"/>
      <c r="F47" s="134"/>
      <c r="G47" s="135"/>
      <c r="H47" s="8"/>
    </row>
    <row r="48" spans="1:8" s="6" customFormat="1" ht="30" customHeight="1" x14ac:dyDescent="0.2">
      <c r="A48" s="72" t="s">
        <v>37</v>
      </c>
      <c r="B48" s="61" t="s">
        <v>146</v>
      </c>
      <c r="C48" s="62" t="s">
        <v>195</v>
      </c>
      <c r="D48" s="90">
        <f>1/5</f>
        <v>0.2</v>
      </c>
      <c r="E48" s="39" t="s">
        <v>70</v>
      </c>
      <c r="F48" s="31"/>
      <c r="G48" s="53" t="str">
        <f>IF(F48="","",F48*D48)</f>
        <v/>
      </c>
      <c r="H48" s="7"/>
    </row>
    <row r="49" spans="1:19" s="6" customFormat="1" ht="30" customHeight="1" thickBot="1" x14ac:dyDescent="0.25">
      <c r="A49" s="70" t="s">
        <v>38</v>
      </c>
      <c r="B49" s="50" t="s">
        <v>148</v>
      </c>
      <c r="C49" s="51" t="s">
        <v>178</v>
      </c>
      <c r="D49" s="90">
        <f>1/10</f>
        <v>0.1</v>
      </c>
      <c r="E49" s="52" t="s">
        <v>70</v>
      </c>
      <c r="F49" s="33"/>
      <c r="G49" s="53" t="str">
        <f>IF(F49="","",F49*D49)</f>
        <v/>
      </c>
      <c r="H49" s="7"/>
    </row>
    <row r="50" spans="1:19" s="6" customFormat="1" ht="35.1" customHeight="1" thickBot="1" x14ac:dyDescent="0.25">
      <c r="A50" s="54" t="s">
        <v>39</v>
      </c>
      <c r="B50" s="133" t="s">
        <v>40</v>
      </c>
      <c r="C50" s="134"/>
      <c r="D50" s="134"/>
      <c r="E50" s="134"/>
      <c r="F50" s="134"/>
      <c r="G50" s="135"/>
      <c r="H50" s="7"/>
    </row>
    <row r="51" spans="1:19" s="6" customFormat="1" ht="20.100000000000001" customHeight="1" x14ac:dyDescent="0.2">
      <c r="A51" s="72" t="s">
        <v>41</v>
      </c>
      <c r="B51" s="61" t="s">
        <v>42</v>
      </c>
      <c r="C51" s="62" t="s">
        <v>196</v>
      </c>
      <c r="D51" s="90">
        <f>1/1</f>
        <v>1</v>
      </c>
      <c r="E51" s="39" t="s">
        <v>206</v>
      </c>
      <c r="F51" s="31"/>
      <c r="G51" s="53" t="str">
        <f>IF(F51="","",F51*D51)</f>
        <v/>
      </c>
      <c r="H51" s="7"/>
    </row>
    <row r="52" spans="1:19" s="6" customFormat="1" ht="30" customHeight="1" x14ac:dyDescent="0.2">
      <c r="A52" s="69" t="s">
        <v>43</v>
      </c>
      <c r="B52" s="46" t="s">
        <v>44</v>
      </c>
      <c r="C52" s="47" t="s">
        <v>197</v>
      </c>
      <c r="D52" s="90">
        <f>1/1</f>
        <v>1</v>
      </c>
      <c r="E52" s="43" t="s">
        <v>207</v>
      </c>
      <c r="F52" s="29"/>
      <c r="G52" s="53" t="str">
        <f t="shared" ref="G52" si="2">IF(F52="","",F52*D52)</f>
        <v/>
      </c>
      <c r="H52" s="7"/>
    </row>
    <row r="53" spans="1:19" s="6" customFormat="1" ht="43.5" thickBot="1" x14ac:dyDescent="0.25">
      <c r="A53" s="70" t="s">
        <v>45</v>
      </c>
      <c r="B53" s="50" t="s">
        <v>256</v>
      </c>
      <c r="C53" s="51" t="s">
        <v>257</v>
      </c>
      <c r="D53" s="90">
        <f>1/10</f>
        <v>0.1</v>
      </c>
      <c r="E53" s="52" t="s">
        <v>208</v>
      </c>
      <c r="F53" s="33"/>
      <c r="G53" s="53" t="str">
        <f>IF(F53="","",IF(F53*D53&lt;2,2,F53*D53))</f>
        <v/>
      </c>
      <c r="H53" s="7"/>
    </row>
    <row r="54" spans="1:19" s="6" customFormat="1" ht="35.1" customHeight="1" thickBot="1" x14ac:dyDescent="0.25">
      <c r="A54" s="54" t="s">
        <v>47</v>
      </c>
      <c r="B54" s="133" t="s">
        <v>46</v>
      </c>
      <c r="C54" s="134"/>
      <c r="D54" s="134"/>
      <c r="E54" s="134"/>
      <c r="F54" s="134"/>
      <c r="G54" s="135"/>
      <c r="H54" s="7"/>
    </row>
    <row r="55" spans="1:19" s="6" customFormat="1" ht="29.25" thickBot="1" x14ac:dyDescent="0.25">
      <c r="A55" s="74" t="s">
        <v>48</v>
      </c>
      <c r="B55" s="75" t="s">
        <v>49</v>
      </c>
      <c r="C55" s="51" t="s">
        <v>198</v>
      </c>
      <c r="D55" s="90">
        <f>1/8</f>
        <v>0.125</v>
      </c>
      <c r="E55" s="52" t="s">
        <v>200</v>
      </c>
      <c r="F55" s="33"/>
      <c r="G55" s="53" t="str">
        <f>IF(F55="","",F55*D55)</f>
        <v/>
      </c>
      <c r="H55" s="7"/>
    </row>
    <row r="56" spans="1:19" s="6" customFormat="1" ht="35.1" customHeight="1" thickBot="1" x14ac:dyDescent="0.25">
      <c r="A56" s="54" t="s">
        <v>50</v>
      </c>
      <c r="B56" s="133" t="s">
        <v>51</v>
      </c>
      <c r="C56" s="134"/>
      <c r="D56" s="134"/>
      <c r="E56" s="134"/>
      <c r="F56" s="134"/>
      <c r="G56" s="135"/>
      <c r="H56" s="7"/>
    </row>
    <row r="57" spans="1:19" s="6" customFormat="1" hidden="1" x14ac:dyDescent="0.2">
      <c r="A57" s="72" t="s">
        <v>55</v>
      </c>
      <c r="B57" s="61" t="s">
        <v>54</v>
      </c>
      <c r="C57" s="62" t="s">
        <v>59</v>
      </c>
      <c r="D57" s="48">
        <v>0.5</v>
      </c>
      <c r="E57" s="39" t="s">
        <v>63</v>
      </c>
      <c r="F57" s="88"/>
      <c r="G57" s="89" t="str">
        <f>IF($F$57="","",$F$57*$D$57)</f>
        <v/>
      </c>
      <c r="H57" s="7"/>
    </row>
    <row r="58" spans="1:19" s="6" customFormat="1" ht="20.100000000000001" customHeight="1" x14ac:dyDescent="0.2">
      <c r="A58" s="70" t="s">
        <v>52</v>
      </c>
      <c r="B58" s="50" t="s">
        <v>15</v>
      </c>
      <c r="C58" s="51" t="s">
        <v>199</v>
      </c>
      <c r="D58" s="90">
        <f>1/2</f>
        <v>0.5</v>
      </c>
      <c r="E58" s="52" t="s">
        <v>209</v>
      </c>
      <c r="F58" s="87"/>
      <c r="G58" s="53" t="str">
        <f>IF(F58="","",F58*D58)</f>
        <v/>
      </c>
      <c r="H58" s="7"/>
      <c r="I58" s="107" t="s">
        <v>268</v>
      </c>
    </row>
    <row r="59" spans="1:19" s="6" customFormat="1" ht="20.100000000000001" customHeight="1" thickBot="1" x14ac:dyDescent="0.25">
      <c r="A59" s="76" t="s">
        <v>53</v>
      </c>
      <c r="B59" s="77" t="s">
        <v>54</v>
      </c>
      <c r="C59" s="78" t="s">
        <v>59</v>
      </c>
      <c r="D59" s="92">
        <f>1/2</f>
        <v>0.5</v>
      </c>
      <c r="E59" s="79" t="s">
        <v>210</v>
      </c>
      <c r="F59" s="30"/>
      <c r="G59" s="53" t="str">
        <f>IF(F59="","",F59*D59)</f>
        <v/>
      </c>
      <c r="H59" s="7"/>
      <c r="I59" s="124">
        <f>ROUND(SUM(G31,G33:G36,G38:G40,G42:G46,G48:G49,G51:G53,G55,G58:G59),0)</f>
        <v>0</v>
      </c>
    </row>
    <row r="60" spans="1:19" s="6" customFormat="1" ht="39.950000000000003" customHeight="1" thickBot="1" x14ac:dyDescent="0.25">
      <c r="A60" s="170" t="s">
        <v>98</v>
      </c>
      <c r="B60" s="171"/>
      <c r="C60" s="171"/>
      <c r="D60" s="171"/>
      <c r="E60" s="171"/>
      <c r="F60" s="172"/>
      <c r="G60" s="80">
        <f>SUM($G$6:$G$59)</f>
        <v>0</v>
      </c>
      <c r="H60" s="7"/>
    </row>
    <row r="61" spans="1:19" s="6" customFormat="1" ht="39.950000000000003" customHeight="1" thickBot="1" x14ac:dyDescent="0.25">
      <c r="A61" s="170" t="s">
        <v>264</v>
      </c>
      <c r="B61" s="171"/>
      <c r="C61" s="171"/>
      <c r="D61" s="171"/>
      <c r="E61" s="171"/>
      <c r="F61" s="172"/>
      <c r="G61" s="80">
        <f>IF(G60=SUM(G8:G11),0,IF((G60-SUM(G8:G11))&gt;=5,ROUNDUP((G60-SUM(G8:G11))/20,0),0))</f>
        <v>0</v>
      </c>
      <c r="H61" s="7"/>
      <c r="I61" s="123" t="str">
        <f>IF(F48="","","ACHTUNG:" &amp; CHAR(10) &amp; "separate Regeln für Veranstaltungsstätten")</f>
        <v/>
      </c>
    </row>
    <row r="62" spans="1:19" s="6" customFormat="1" ht="39.950000000000003" customHeight="1" thickBot="1" x14ac:dyDescent="0.25">
      <c r="A62" s="173" t="s">
        <v>271</v>
      </c>
      <c r="B62" s="171"/>
      <c r="C62" s="171"/>
      <c r="D62" s="171"/>
      <c r="E62" s="171"/>
      <c r="F62" s="172"/>
      <c r="G62" s="80">
        <f>IF(SUM(G13:G16)=0,0,SUM(G13:G16)*0.13)</f>
        <v>0</v>
      </c>
      <c r="H62" s="7"/>
      <c r="I62" s="123"/>
      <c r="J62" s="107"/>
      <c r="K62" s="107"/>
      <c r="L62" s="107"/>
      <c r="M62" s="107"/>
      <c r="N62" s="107"/>
      <c r="O62" s="107"/>
      <c r="P62" s="107"/>
      <c r="Q62" s="107"/>
      <c r="R62" s="107"/>
      <c r="S62" s="107"/>
    </row>
    <row r="63" spans="1:19" s="6" customFormat="1" ht="39.950000000000003" customHeight="1" thickBot="1" x14ac:dyDescent="0.25">
      <c r="A63" s="174" t="s">
        <v>266</v>
      </c>
      <c r="B63" s="175"/>
      <c r="C63" s="170" t="s">
        <v>262</v>
      </c>
      <c r="D63" s="171"/>
      <c r="E63" s="171"/>
      <c r="F63" s="172"/>
      <c r="G63" s="80">
        <f>IF(I59&gt;10,1,0)</f>
        <v>0</v>
      </c>
      <c r="H63" s="7"/>
      <c r="I63" s="182" t="s">
        <v>267</v>
      </c>
    </row>
    <row r="64" spans="1:19" s="6" customFormat="1" ht="39.950000000000003" customHeight="1" thickBot="1" x14ac:dyDescent="0.25">
      <c r="A64" s="176"/>
      <c r="B64" s="177"/>
      <c r="C64" s="173" t="s">
        <v>263</v>
      </c>
      <c r="D64" s="171"/>
      <c r="E64" s="171"/>
      <c r="F64" s="172"/>
      <c r="G64" s="80">
        <f>IF(I29&gt;10,I29,0)+IF(I59&gt;10,ROUNDUP(I59/5,0),0)</f>
        <v>0</v>
      </c>
      <c r="H64" s="7"/>
      <c r="I64" s="182"/>
    </row>
    <row r="65" spans="1:17" s="6" customFormat="1" ht="20.100000000000001" customHeight="1" x14ac:dyDescent="0.2">
      <c r="A65" s="98"/>
      <c r="B65" s="98"/>
      <c r="C65" s="98"/>
      <c r="D65" s="98"/>
      <c r="E65" s="98"/>
      <c r="F65" s="98"/>
      <c r="G65" s="99"/>
      <c r="H65" s="7"/>
    </row>
    <row r="66" spans="1:17" s="6" customFormat="1" ht="20.100000000000001" customHeight="1" x14ac:dyDescent="0.2">
      <c r="C66" s="100" t="s">
        <v>248</v>
      </c>
      <c r="D66" s="10"/>
      <c r="E66" s="11"/>
      <c r="F66" s="11"/>
      <c r="H66" s="7"/>
    </row>
    <row r="67" spans="1:17" s="6" customFormat="1" ht="28.5" customHeight="1" x14ac:dyDescent="0.2">
      <c r="A67" s="181" t="s">
        <v>84</v>
      </c>
      <c r="B67" s="181"/>
      <c r="C67" s="181"/>
      <c r="D67" s="181"/>
      <c r="E67" s="181"/>
      <c r="F67" s="181"/>
      <c r="G67" s="181"/>
      <c r="H67" s="9"/>
    </row>
    <row r="68" spans="1:17" s="6" customFormat="1" ht="20.100000000000001" customHeight="1" x14ac:dyDescent="0.2">
      <c r="A68" s="12" t="s">
        <v>66</v>
      </c>
      <c r="B68" s="13"/>
      <c r="C68" s="13"/>
      <c r="D68" s="14"/>
      <c r="E68" s="13"/>
      <c r="F68" s="12"/>
      <c r="G68" s="12"/>
      <c r="H68" s="11"/>
      <c r="I68" s="11"/>
      <c r="J68" s="11"/>
      <c r="K68" s="11"/>
      <c r="L68" s="11"/>
      <c r="P68" s="11"/>
      <c r="Q68" s="11"/>
    </row>
    <row r="69" spans="1:17" s="6" customFormat="1" ht="20.100000000000001" customHeight="1" x14ac:dyDescent="0.2">
      <c r="A69" s="15" t="s">
        <v>67</v>
      </c>
      <c r="B69" s="15" t="s">
        <v>85</v>
      </c>
      <c r="C69" s="178" t="s">
        <v>265</v>
      </c>
      <c r="D69" s="178"/>
      <c r="E69" s="178"/>
      <c r="F69" s="178"/>
      <c r="G69" s="12"/>
      <c r="H69" s="11"/>
      <c r="I69" s="11"/>
      <c r="J69" s="11"/>
      <c r="K69" s="11"/>
      <c r="L69" s="11"/>
      <c r="P69" s="11"/>
      <c r="Q69" s="11"/>
    </row>
    <row r="70" spans="1:17" s="6" customFormat="1" ht="20.100000000000001" customHeight="1" x14ac:dyDescent="0.2">
      <c r="A70" s="17" t="s">
        <v>68</v>
      </c>
      <c r="B70" s="15" t="s">
        <v>86</v>
      </c>
      <c r="C70" s="178"/>
      <c r="D70" s="178"/>
      <c r="E70" s="178"/>
      <c r="F70" s="178"/>
      <c r="G70" s="12"/>
      <c r="H70" s="11"/>
      <c r="I70" s="11"/>
      <c r="J70" s="11"/>
      <c r="K70" s="11"/>
      <c r="L70" s="11"/>
      <c r="P70" s="11"/>
      <c r="Q70" s="11"/>
    </row>
    <row r="71" spans="1:17" s="6" customFormat="1" ht="20.100000000000001" customHeight="1" x14ac:dyDescent="0.2">
      <c r="A71" s="15" t="s">
        <v>69</v>
      </c>
      <c r="B71" s="15" t="s">
        <v>87</v>
      </c>
      <c r="C71" s="178"/>
      <c r="D71" s="178"/>
      <c r="E71" s="178"/>
      <c r="F71" s="178"/>
      <c r="G71" s="12"/>
      <c r="H71" s="11"/>
      <c r="I71" s="11"/>
      <c r="J71" s="11"/>
      <c r="K71" s="11"/>
      <c r="L71" s="11"/>
      <c r="P71" s="11"/>
      <c r="Q71" s="11"/>
    </row>
    <row r="72" spans="1:17" s="6" customFormat="1" ht="20.100000000000001" customHeight="1" x14ac:dyDescent="0.2">
      <c r="A72" s="15" t="s">
        <v>70</v>
      </c>
      <c r="B72" s="15" t="s">
        <v>88</v>
      </c>
      <c r="C72" s="178" t="s">
        <v>273</v>
      </c>
      <c r="D72" s="178"/>
      <c r="E72" s="178"/>
      <c r="F72" s="178"/>
      <c r="G72" s="12"/>
      <c r="H72" s="11"/>
      <c r="I72" s="11"/>
      <c r="J72" s="11"/>
      <c r="K72" s="11"/>
      <c r="L72" s="11"/>
      <c r="P72" s="11"/>
      <c r="Q72" s="11"/>
    </row>
    <row r="73" spans="1:17" s="6" customFormat="1" ht="20.100000000000001" customHeight="1" x14ac:dyDescent="0.2">
      <c r="A73" s="15" t="s">
        <v>71</v>
      </c>
      <c r="B73" s="15" t="s">
        <v>89</v>
      </c>
      <c r="C73" s="178"/>
      <c r="D73" s="178"/>
      <c r="E73" s="178"/>
      <c r="F73" s="178"/>
      <c r="G73" s="12"/>
      <c r="H73" s="11"/>
      <c r="I73" s="11"/>
      <c r="J73" s="11"/>
      <c r="K73" s="11"/>
      <c r="L73" s="11"/>
      <c r="P73" s="11"/>
      <c r="Q73" s="11"/>
    </row>
    <row r="74" spans="1:17" s="6" customFormat="1" ht="20.100000000000001" customHeight="1" x14ac:dyDescent="0.2">
      <c r="A74" s="15" t="s">
        <v>72</v>
      </c>
      <c r="B74" s="15" t="s">
        <v>90</v>
      </c>
      <c r="C74" s="178"/>
      <c r="D74" s="178"/>
      <c r="E74" s="178"/>
      <c r="F74" s="178"/>
      <c r="G74" s="12"/>
      <c r="H74" s="11"/>
      <c r="I74" s="11"/>
      <c r="J74" s="11"/>
      <c r="K74" s="11"/>
      <c r="L74" s="11"/>
      <c r="P74" s="11"/>
      <c r="Q74" s="11"/>
    </row>
    <row r="75" spans="1:17" s="6" customFormat="1" ht="20.100000000000001" customHeight="1" x14ac:dyDescent="0.2">
      <c r="A75" s="15" t="s">
        <v>73</v>
      </c>
      <c r="B75" s="15" t="s">
        <v>91</v>
      </c>
      <c r="C75" s="179" t="s">
        <v>272</v>
      </c>
      <c r="D75" s="179"/>
      <c r="E75" s="179"/>
      <c r="F75" s="12"/>
      <c r="G75" s="12"/>
      <c r="H75" s="11"/>
      <c r="I75" s="11"/>
      <c r="J75" s="11"/>
      <c r="K75" s="11"/>
      <c r="L75" s="11"/>
      <c r="P75" s="11"/>
      <c r="Q75" s="11"/>
    </row>
    <row r="76" spans="1:17" s="6" customFormat="1" ht="20.100000000000001" customHeight="1" x14ac:dyDescent="0.2">
      <c r="A76" s="15" t="s">
        <v>74</v>
      </c>
      <c r="B76" s="15" t="s">
        <v>92</v>
      </c>
      <c r="C76" s="179"/>
      <c r="D76" s="179"/>
      <c r="E76" s="179"/>
      <c r="F76" s="12"/>
      <c r="G76" s="12"/>
      <c r="H76" s="11"/>
      <c r="I76" s="11"/>
      <c r="J76" s="11"/>
      <c r="K76" s="11"/>
      <c r="L76" s="11"/>
      <c r="P76" s="11"/>
      <c r="Q76" s="11"/>
    </row>
    <row r="77" spans="1:17" s="6" customFormat="1" ht="20.100000000000001" customHeight="1" x14ac:dyDescent="0.2">
      <c r="A77" s="15" t="s">
        <v>75</v>
      </c>
      <c r="B77" s="15" t="s">
        <v>93</v>
      </c>
      <c r="C77" s="13"/>
      <c r="D77" s="16"/>
      <c r="E77" s="13"/>
      <c r="F77" s="15"/>
      <c r="G77" s="15"/>
      <c r="H77" s="35"/>
      <c r="I77" s="35"/>
      <c r="J77" s="35"/>
      <c r="K77" s="35"/>
      <c r="L77" s="35"/>
      <c r="P77" s="11"/>
      <c r="Q77" s="11"/>
    </row>
    <row r="78" spans="1:17" s="6" customFormat="1" ht="20.100000000000001" customHeight="1" x14ac:dyDescent="0.2">
      <c r="A78" s="104" t="s">
        <v>76</v>
      </c>
      <c r="B78" s="104" t="s">
        <v>253</v>
      </c>
      <c r="C78" s="105"/>
      <c r="D78" s="106"/>
      <c r="E78" s="105"/>
      <c r="F78" s="104"/>
      <c r="G78" s="104"/>
      <c r="H78" s="35"/>
      <c r="I78" s="35"/>
      <c r="J78" s="35"/>
      <c r="K78" s="35"/>
      <c r="L78" s="35"/>
      <c r="P78" s="35"/>
      <c r="Q78" s="35"/>
    </row>
    <row r="79" spans="1:17" s="6" customFormat="1" ht="20.100000000000001" customHeight="1" x14ac:dyDescent="0.2">
      <c r="A79" s="104" t="s">
        <v>77</v>
      </c>
      <c r="B79" s="104" t="s">
        <v>94</v>
      </c>
      <c r="C79" s="105"/>
      <c r="D79" s="106"/>
      <c r="E79" s="105"/>
      <c r="F79" s="104"/>
      <c r="G79" s="104"/>
      <c r="H79" s="35"/>
      <c r="I79" s="35"/>
      <c r="J79" s="35"/>
      <c r="K79" s="35"/>
      <c r="L79" s="35"/>
      <c r="P79" s="35"/>
      <c r="Q79" s="35"/>
    </row>
    <row r="80" spans="1:17" s="6" customFormat="1" ht="20.100000000000001" customHeight="1" x14ac:dyDescent="0.2">
      <c r="A80" s="104" t="s">
        <v>78</v>
      </c>
      <c r="B80" s="104" t="s">
        <v>249</v>
      </c>
      <c r="C80" s="105"/>
      <c r="D80" s="106"/>
      <c r="E80" s="105"/>
      <c r="F80" s="104"/>
      <c r="G80" s="104"/>
      <c r="H80" s="35"/>
      <c r="I80" s="35"/>
      <c r="J80" s="35"/>
      <c r="K80" s="35"/>
      <c r="L80" s="35"/>
      <c r="P80" s="35"/>
      <c r="Q80" s="35"/>
    </row>
    <row r="81" spans="1:29" s="6" customFormat="1" ht="20.100000000000001" customHeight="1" x14ac:dyDescent="0.2">
      <c r="A81" s="104" t="s">
        <v>79</v>
      </c>
      <c r="B81" s="104" t="s">
        <v>95</v>
      </c>
      <c r="C81" s="105"/>
      <c r="D81" s="106"/>
      <c r="E81" s="105"/>
      <c r="F81" s="104"/>
      <c r="G81" s="104"/>
      <c r="H81" s="35"/>
      <c r="I81" s="35"/>
      <c r="J81" s="35"/>
      <c r="K81" s="35"/>
      <c r="L81" s="35"/>
      <c r="P81" s="35"/>
      <c r="Q81" s="35"/>
    </row>
    <row r="82" spans="1:29" s="6" customFormat="1" ht="20.100000000000001" customHeight="1" x14ac:dyDescent="0.2">
      <c r="A82" s="104" t="s">
        <v>80</v>
      </c>
      <c r="B82" s="104" t="s">
        <v>96</v>
      </c>
      <c r="C82" s="105"/>
      <c r="D82" s="106"/>
      <c r="E82" s="105"/>
      <c r="F82" s="104"/>
      <c r="G82" s="104"/>
      <c r="H82" s="35"/>
      <c r="I82" s="35"/>
      <c r="J82" s="35"/>
      <c r="K82" s="35"/>
      <c r="L82" s="35"/>
      <c r="P82" s="35"/>
      <c r="Q82" s="35"/>
    </row>
    <row r="83" spans="1:29" s="6" customFormat="1" ht="20.100000000000001" customHeight="1" x14ac:dyDescent="0.2">
      <c r="A83" s="104" t="s">
        <v>81</v>
      </c>
      <c r="B83" s="104" t="s">
        <v>97</v>
      </c>
      <c r="C83" s="105"/>
      <c r="D83" s="106"/>
      <c r="E83" s="105"/>
      <c r="F83" s="104"/>
      <c r="G83" s="104"/>
      <c r="H83" s="35"/>
      <c r="I83" s="35"/>
      <c r="J83" s="35"/>
      <c r="K83" s="35"/>
      <c r="L83" s="35"/>
      <c r="P83" s="35"/>
      <c r="Q83" s="35"/>
    </row>
    <row r="84" spans="1:29" s="6" customFormat="1" ht="20.100000000000001" customHeight="1" x14ac:dyDescent="0.2">
      <c r="A84" s="104" t="s">
        <v>82</v>
      </c>
      <c r="B84" s="104" t="s">
        <v>254</v>
      </c>
      <c r="C84" s="105"/>
      <c r="D84" s="106"/>
      <c r="E84" s="105"/>
      <c r="F84" s="104"/>
      <c r="G84" s="104"/>
      <c r="H84" s="35"/>
      <c r="I84" s="35"/>
      <c r="J84" s="35"/>
      <c r="K84" s="35"/>
      <c r="L84" s="35"/>
      <c r="P84" s="35"/>
      <c r="Q84" s="35"/>
    </row>
    <row r="85" spans="1:29" s="6" customFormat="1" ht="20.100000000000001" customHeight="1" x14ac:dyDescent="0.2">
      <c r="A85" s="104" t="s">
        <v>83</v>
      </c>
      <c r="B85" s="104" t="s">
        <v>270</v>
      </c>
      <c r="C85" s="105"/>
      <c r="D85" s="105"/>
      <c r="E85" s="106"/>
      <c r="F85" s="104"/>
      <c r="G85" s="106"/>
      <c r="H85" s="18"/>
      <c r="I85" s="35"/>
      <c r="J85" s="35"/>
      <c r="K85" s="35"/>
      <c r="L85" s="35"/>
      <c r="P85" s="35"/>
      <c r="Q85" s="35"/>
    </row>
    <row r="86" spans="1:29" s="6" customFormat="1" ht="20.100000000000001" customHeight="1" x14ac:dyDescent="0.2">
      <c r="A86" s="107"/>
      <c r="B86" s="107"/>
      <c r="C86" s="107"/>
      <c r="D86" s="107"/>
      <c r="E86" s="107"/>
      <c r="F86" s="107"/>
      <c r="G86" s="107"/>
      <c r="H86" s="35"/>
      <c r="I86" s="35"/>
      <c r="J86" s="35"/>
      <c r="K86" s="35"/>
      <c r="L86" s="35"/>
      <c r="P86" s="35"/>
      <c r="Q86" s="35"/>
    </row>
    <row r="87" spans="1:29" s="6" customFormat="1" ht="33.75" customHeight="1" x14ac:dyDescent="0.2">
      <c r="A87" s="161" t="s">
        <v>255</v>
      </c>
      <c r="B87" s="161"/>
      <c r="C87" s="161"/>
      <c r="D87" s="161"/>
      <c r="E87" s="161"/>
      <c r="F87" s="161"/>
      <c r="G87" s="161"/>
      <c r="P87" s="10"/>
      <c r="Q87" s="10"/>
      <c r="R87" s="10"/>
      <c r="S87" s="10"/>
      <c r="T87" s="10"/>
      <c r="U87" s="10"/>
      <c r="V87" s="10"/>
      <c r="W87" s="10"/>
      <c r="X87" s="10"/>
      <c r="Y87" s="10"/>
      <c r="Z87" s="10"/>
      <c r="AA87" s="10"/>
      <c r="AB87" s="10"/>
      <c r="AC87" s="10"/>
    </row>
    <row r="88" spans="1:29" s="6" customFormat="1" ht="20.100000000000001" customHeight="1" x14ac:dyDescent="0.2"/>
    <row r="89" spans="1:29" s="6" customFormat="1" ht="20.100000000000001" customHeight="1" x14ac:dyDescent="0.2"/>
    <row r="90" spans="1:29" s="6" customFormat="1" ht="20.100000000000001" customHeight="1" x14ac:dyDescent="0.2"/>
    <row r="91" spans="1:29" s="6" customFormat="1" ht="20.100000000000001" customHeight="1" x14ac:dyDescent="0.2"/>
    <row r="92" spans="1:29" s="6" customFormat="1" ht="20.100000000000001" customHeight="1" x14ac:dyDescent="0.2">
      <c r="B92" s="19"/>
      <c r="C92" s="20"/>
      <c r="D92" s="19"/>
      <c r="E92" s="19"/>
      <c r="F92" s="19"/>
      <c r="G92" s="20"/>
    </row>
    <row r="93" spans="1:29" s="6" customFormat="1" ht="20.100000000000001" customHeight="1" x14ac:dyDescent="0.2">
      <c r="B93" s="23"/>
      <c r="C93" s="24"/>
      <c r="D93" s="9"/>
      <c r="E93" s="17"/>
      <c r="F93" s="25"/>
      <c r="G93" s="9"/>
    </row>
    <row r="94" spans="1:29" s="6" customFormat="1" ht="20.100000000000001" customHeight="1" x14ac:dyDescent="0.2">
      <c r="B94" s="23"/>
      <c r="C94" s="24"/>
      <c r="D94" s="9"/>
      <c r="E94" s="17"/>
      <c r="F94" s="25"/>
      <c r="G94" s="9"/>
      <c r="H94" s="20"/>
      <c r="I94" s="20"/>
      <c r="J94" s="21"/>
      <c r="K94" s="22"/>
      <c r="L94" s="22"/>
      <c r="M94" s="22"/>
      <c r="N94" s="22"/>
      <c r="O94" s="20"/>
      <c r="P94" s="20"/>
      <c r="Q94" s="20"/>
      <c r="R94" s="20"/>
    </row>
    <row r="95" spans="1:29" s="6" customFormat="1" ht="20.100000000000001" customHeight="1" x14ac:dyDescent="0.2">
      <c r="B95" s="23"/>
      <c r="C95" s="24"/>
      <c r="D95" s="9"/>
      <c r="E95" s="17"/>
      <c r="F95" s="25"/>
      <c r="G95" s="9"/>
      <c r="H95" s="9"/>
    </row>
    <row r="96" spans="1:29" s="6" customFormat="1" ht="20.100000000000001" customHeight="1" x14ac:dyDescent="0.2">
      <c r="B96" s="23"/>
      <c r="C96" s="24"/>
      <c r="D96" s="9"/>
      <c r="E96" s="17"/>
      <c r="F96" s="25"/>
      <c r="G96" s="9"/>
      <c r="H96" s="9"/>
    </row>
    <row r="97" spans="1:8" s="6" customFormat="1" ht="20.100000000000001" customHeight="1" x14ac:dyDescent="0.2">
      <c r="A97" s="3"/>
      <c r="B97" s="26"/>
      <c r="C97" s="24"/>
      <c r="D97" s="27"/>
      <c r="E97" s="28"/>
      <c r="F97" s="25"/>
      <c r="G97" s="27"/>
      <c r="H97" s="9"/>
    </row>
    <row r="98" spans="1:8" s="6" customFormat="1" ht="20.100000000000001" customHeight="1" x14ac:dyDescent="0.2">
      <c r="A98" s="3"/>
      <c r="B98" s="26"/>
      <c r="C98" s="24"/>
      <c r="D98" s="27"/>
      <c r="E98" s="28"/>
      <c r="F98" s="25"/>
      <c r="G98" s="27"/>
      <c r="H98" s="9"/>
    </row>
  </sheetData>
  <sheetProtection password="DD2A" sheet="1" selectLockedCells="1"/>
  <mergeCells count="43">
    <mergeCell ref="C75:E76"/>
    <mergeCell ref="I63:I64"/>
    <mergeCell ref="C72:F74"/>
    <mergeCell ref="A67:G67"/>
    <mergeCell ref="A87:G87"/>
    <mergeCell ref="C69:F71"/>
    <mergeCell ref="B6:G6"/>
    <mergeCell ref="B7:G7"/>
    <mergeCell ref="B12:G12"/>
    <mergeCell ref="B17:G17"/>
    <mergeCell ref="B18:G18"/>
    <mergeCell ref="A60:F60"/>
    <mergeCell ref="B30:G30"/>
    <mergeCell ref="B32:G32"/>
    <mergeCell ref="B37:G37"/>
    <mergeCell ref="B41:G41"/>
    <mergeCell ref="A42:A43"/>
    <mergeCell ref="B42:B43"/>
    <mergeCell ref="B56:G56"/>
    <mergeCell ref="B47:G47"/>
    <mergeCell ref="B50:G50"/>
    <mergeCell ref="B54:G54"/>
    <mergeCell ref="C42:C43"/>
    <mergeCell ref="G42:G43"/>
    <mergeCell ref="I8:I11"/>
    <mergeCell ref="I13:I16"/>
    <mergeCell ref="I19:I22"/>
    <mergeCell ref="I24:I27"/>
    <mergeCell ref="B23:G23"/>
    <mergeCell ref="A1:G1"/>
    <mergeCell ref="A2:B2"/>
    <mergeCell ref="A3:B3"/>
    <mergeCell ref="C4:C5"/>
    <mergeCell ref="D4:D5"/>
    <mergeCell ref="E4:F4"/>
    <mergeCell ref="G4:G5"/>
    <mergeCell ref="E2:G2"/>
    <mergeCell ref="E3:G3"/>
    <mergeCell ref="A61:F61"/>
    <mergeCell ref="A63:B64"/>
    <mergeCell ref="C63:F63"/>
    <mergeCell ref="C64:F64"/>
    <mergeCell ref="A62:F62"/>
  </mergeCells>
  <conditionalFormatting sqref="G8:G11">
    <cfRule type="notContainsText" dxfId="85" priority="52" operator="notContains" text="Eingabe bei Pkt. 1.2">
      <formula>ISERROR(SEARCH("Eingabe bei Pkt. 1.2",G8))</formula>
    </cfRule>
    <cfRule type="cellIs" dxfId="84" priority="51" operator="equal">
      <formula>""</formula>
    </cfRule>
    <cfRule type="containsText" dxfId="83" priority="54" operator="containsText" text="Eingabe bei Pkt. 1.2">
      <formula>NOT(ISERROR(SEARCH("Eingabe bei Pkt. 1.2",G8)))</formula>
    </cfRule>
  </conditionalFormatting>
  <conditionalFormatting sqref="G13:G16">
    <cfRule type="cellIs" dxfId="82" priority="48" operator="equal">
      <formula>""</formula>
    </cfRule>
    <cfRule type="containsText" dxfId="81" priority="50" operator="containsText" text="Eingabe bei Pkt. 1.1">
      <formula>NOT(ISERROR(SEARCH("Eingabe bei Pkt. 1.1",G13)))</formula>
    </cfRule>
    <cfRule type="notContainsText" dxfId="80" priority="49" operator="notContains" text="Eingabe bei Pkt. 1.1">
      <formula>ISERROR(SEARCH("Eingabe bei Pkt. 1.1",G13))</formula>
    </cfRule>
  </conditionalFormatting>
  <conditionalFormatting sqref="G19:G22">
    <cfRule type="containsText" dxfId="79" priority="47" operator="containsText" text="Eingabe bei Pkt. 1.3.2">
      <formula>NOT(ISERROR(SEARCH("Eingabe bei Pkt. 1.3.2",G19)))</formula>
    </cfRule>
    <cfRule type="notContainsText" dxfId="78" priority="46" operator="notContains" text="Eingabe bei Pkt. 1.3.2">
      <formula>ISERROR(SEARCH("Eingabe bei Pkt. 1.3.2",G19))</formula>
    </cfRule>
    <cfRule type="cellIs" dxfId="77" priority="45" operator="equal">
      <formula>""</formula>
    </cfRule>
  </conditionalFormatting>
  <conditionalFormatting sqref="G24:G27">
    <cfRule type="containsText" dxfId="76" priority="44" operator="containsText" text="Eingabe bei Pkt. 1.3.1">
      <formula>NOT(ISERROR(SEARCH("Eingabe bei Pkt. 1.3.1",G24)))</formula>
    </cfRule>
    <cfRule type="notContainsText" dxfId="75" priority="43" operator="notContains" text="Eingabe bei Pkt. 1.3.1">
      <formula>ISERROR(SEARCH("Eingabe bei Pkt. 1.3.1",G24))</formula>
    </cfRule>
  </conditionalFormatting>
  <conditionalFormatting sqref="G24:G29">
    <cfRule type="cellIs" dxfId="74" priority="38" operator="equal">
      <formula>""</formula>
    </cfRule>
  </conditionalFormatting>
  <conditionalFormatting sqref="G28:G29">
    <cfRule type="cellIs" dxfId="73" priority="39" operator="notEqual">
      <formula>""</formula>
    </cfRule>
  </conditionalFormatting>
  <conditionalFormatting sqref="G31">
    <cfRule type="cellIs" dxfId="72" priority="37" operator="notEqual">
      <formula>""</formula>
    </cfRule>
    <cfRule type="cellIs" dxfId="71" priority="36" operator="equal">
      <formula>""</formula>
    </cfRule>
  </conditionalFormatting>
  <conditionalFormatting sqref="G33:G36">
    <cfRule type="cellIs" dxfId="70" priority="35" operator="notEqual">
      <formula>""</formula>
    </cfRule>
    <cfRule type="cellIs" dxfId="69" priority="34" operator="equal">
      <formula>""</formula>
    </cfRule>
  </conditionalFormatting>
  <conditionalFormatting sqref="G38:G40">
    <cfRule type="cellIs" dxfId="68" priority="33" operator="notEqual">
      <formula>""</formula>
    </cfRule>
    <cfRule type="cellIs" dxfId="67" priority="32" operator="equal">
      <formula>""</formula>
    </cfRule>
  </conditionalFormatting>
  <conditionalFormatting sqref="G42:G43">
    <cfRule type="cellIs" dxfId="66" priority="31" operator="notEqual">
      <formula>""</formula>
    </cfRule>
    <cfRule type="cellIs" dxfId="65" priority="30" operator="equal">
      <formula>""</formula>
    </cfRule>
  </conditionalFormatting>
  <conditionalFormatting sqref="G45:G46">
    <cfRule type="cellIs" dxfId="64" priority="29" operator="notEqual">
      <formula>""</formula>
    </cfRule>
    <cfRule type="cellIs" dxfId="63" priority="28" operator="equal">
      <formula>""</formula>
    </cfRule>
  </conditionalFormatting>
  <conditionalFormatting sqref="G48:G49">
    <cfRule type="cellIs" dxfId="62" priority="25" operator="notEqual">
      <formula>""</formula>
    </cfRule>
    <cfRule type="cellIs" dxfId="61" priority="24" operator="equal">
      <formula>""</formula>
    </cfRule>
  </conditionalFormatting>
  <conditionalFormatting sqref="G51:G53">
    <cfRule type="cellIs" dxfId="60" priority="21" operator="notEqual">
      <formula>""</formula>
    </cfRule>
    <cfRule type="cellIs" dxfId="59" priority="20" operator="equal">
      <formula>""</formula>
    </cfRule>
  </conditionalFormatting>
  <conditionalFormatting sqref="G55">
    <cfRule type="cellIs" dxfId="58" priority="19" operator="notEqual">
      <formula>""</formula>
    </cfRule>
    <cfRule type="cellIs" dxfId="57" priority="18" operator="equal">
      <formula>""</formula>
    </cfRule>
  </conditionalFormatting>
  <conditionalFormatting sqref="G58:G59">
    <cfRule type="cellIs" dxfId="56" priority="17" operator="notEqual">
      <formula>""</formula>
    </cfRule>
    <cfRule type="cellIs" dxfId="55" priority="16" operator="equal">
      <formula>""</formula>
    </cfRule>
  </conditionalFormatting>
  <conditionalFormatting sqref="G60:G65">
    <cfRule type="cellIs" dxfId="54" priority="1" operator="greaterThan">
      <formula>0</formula>
    </cfRule>
  </conditionalFormatting>
  <conditionalFormatting sqref="I8">
    <cfRule type="containsText" dxfId="53" priority="15" operator="containsText" text="Eingabe bei Pkt. 1.2">
      <formula>NOT(ISERROR(SEARCH("Eingabe bei Pkt. 1.2",I8)))</formula>
    </cfRule>
    <cfRule type="cellIs" dxfId="52" priority="14" operator="equal">
      <formula>""</formula>
    </cfRule>
  </conditionalFormatting>
  <conditionalFormatting sqref="I13">
    <cfRule type="containsText" dxfId="51" priority="13" operator="containsText" text="Eingabe bei Pkt. 1.1">
      <formula>NOT(ISERROR(SEARCH("Eingabe bei Pkt. 1.1",I13)))</formula>
    </cfRule>
    <cfRule type="cellIs" dxfId="50" priority="12" operator="equal">
      <formula>""</formula>
    </cfRule>
  </conditionalFormatting>
  <conditionalFormatting sqref="I19">
    <cfRule type="containsText" dxfId="49" priority="11" operator="containsText" text="Eingabe bei Pkt. 1.3.2">
      <formula>NOT(ISERROR(SEARCH("Eingabe bei Pkt. 1.3.2",I19)))</formula>
    </cfRule>
    <cfRule type="cellIs" dxfId="48" priority="10" operator="equal">
      <formula>""</formula>
    </cfRule>
  </conditionalFormatting>
  <conditionalFormatting sqref="I24">
    <cfRule type="cellIs" dxfId="47" priority="8" operator="equal">
      <formula>""</formula>
    </cfRule>
    <cfRule type="containsText" dxfId="46" priority="9" operator="containsText" text="Eingabe bei Pkt. 1.3.1">
      <formula>NOT(ISERROR(SEARCH("Eingabe bei Pkt. 1.3.1",I24)))</formula>
    </cfRule>
  </conditionalFormatting>
  <conditionalFormatting sqref="I61">
    <cfRule type="containsText" dxfId="45" priority="6" operator="containsText" text="Eingabe bei Pkt. 1.2">
      <formula>NOT(ISERROR(SEARCH("Eingabe bei Pkt. 1.2",I61)))</formula>
    </cfRule>
  </conditionalFormatting>
  <conditionalFormatting sqref="I61:I62">
    <cfRule type="cellIs" dxfId="44" priority="2" operator="equal">
      <formula>""</formula>
    </cfRule>
  </conditionalFormatting>
  <dataValidations count="2">
    <dataValidation type="decimal" operator="greaterThan" allowBlank="1" showInputMessage="1" showErrorMessage="1" errorTitle="ACHTUNG" error="Anzahl muss eine GANZE ZAHL und größer 0 sein!" sqref="F58" xr:uid="{00000000-0002-0000-0300-000000000000}">
      <formula1>0</formula1>
    </dataValidation>
    <dataValidation type="whole" operator="greaterThan" allowBlank="1" showInputMessage="1" showErrorMessage="1" errorTitle="ACHTUNG" error="Anzahl muss eine GANZE ZAHL und größer 0 sein!" sqref="F55 F51:F53 F31 F8:F11 F13:F16 F19:F22 F24:F29 F33:F36 F38:F40 F42:F46 F48:F49 F57 F59" xr:uid="{00000000-0002-0000-0300-000001000000}">
      <formula1>0</formula1>
    </dataValidation>
  </dataValidations>
  <pageMargins left="0.23622047244094491" right="0.23622047244094491" top="0.74803149606299213" bottom="0.74803149606299213" header="0.31496062992125984" footer="0.31496062992125984"/>
  <pageSetup paperSize="9" scale="66" fitToHeight="0" orientation="portrait" r:id="rId1"/>
  <headerFooter>
    <oddFooter>&amp;L&amp;D, &amp;T&amp;Cperipheres Hauptsiedlungsgebiet&amp;RSeite &amp;P von &amp;N
BFP V 2025-1</oddFooter>
  </headerFooter>
  <rowBreaks count="1" manualBreakCount="1">
    <brk id="40" max="6"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text="Eingabe bei Pkt. 1.2" id="{27EFAADB-6A0D-4F8C-B979-3E7731869D9F}">
            <xm:f>NOT(ISERROR(SEARCH("Eingabe bei Pkt. 1.2",'Zentrales Hauptsiedlungsgebiet'!I62)))</xm:f>
            <x14:dxf>
              <font>
                <b/>
                <i val="0"/>
                <color theme="0"/>
              </font>
              <fill>
                <patternFill>
                  <bgColor rgb="FFFF0000"/>
                </patternFill>
              </fill>
            </x14:dxf>
          </x14:cfRule>
          <xm:sqref>I62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0"/>
    <pageSetUpPr fitToPage="1"/>
  </sheetPr>
  <dimension ref="A1:AC98"/>
  <sheetViews>
    <sheetView showGridLines="0" zoomScale="80" zoomScaleNormal="80" zoomScalePageLayoutView="55" workbookViewId="0">
      <pane ySplit="5" topLeftCell="A6" activePane="bottomLeft" state="frozen"/>
      <selection pane="bottomLeft" activeCell="F8" sqref="F8"/>
    </sheetView>
  </sheetViews>
  <sheetFormatPr baseColWidth="10" defaultColWidth="11" defaultRowHeight="14.25" x14ac:dyDescent="0.2"/>
  <cols>
    <col min="1" max="1" width="7.625" style="3" customWidth="1"/>
    <col min="2" max="2" width="47.875" style="26" bestFit="1" customWidth="1"/>
    <col min="3" max="3" width="35.125" style="24" customWidth="1"/>
    <col min="4" max="4" width="9.125" style="27" hidden="1" customWidth="1"/>
    <col min="5" max="5" width="15.625" style="28" customWidth="1"/>
    <col min="6" max="6" width="11.625" style="25" customWidth="1"/>
    <col min="7" max="7" width="19.625" style="27" customWidth="1"/>
    <col min="8" max="8" width="11.5" style="27" customWidth="1"/>
    <col min="9" max="9" width="54.625" style="3" customWidth="1"/>
    <col min="10" max="18" width="11.5" style="3" customWidth="1"/>
    <col min="19" max="16384" width="11" style="3"/>
  </cols>
  <sheetData>
    <row r="1" spans="1:10" ht="79.5" customHeight="1" thickBot="1" x14ac:dyDescent="0.25">
      <c r="A1" s="190" t="s">
        <v>157</v>
      </c>
      <c r="B1" s="191"/>
      <c r="C1" s="191"/>
      <c r="D1" s="191"/>
      <c r="E1" s="191"/>
      <c r="F1" s="191"/>
      <c r="G1" s="192"/>
    </row>
    <row r="2" spans="1:10" ht="15" x14ac:dyDescent="0.25">
      <c r="A2" s="141" t="s">
        <v>100</v>
      </c>
      <c r="B2" s="142"/>
      <c r="C2" s="93" t="s">
        <v>101</v>
      </c>
      <c r="D2" s="94"/>
      <c r="E2" s="143" t="s">
        <v>102</v>
      </c>
      <c r="F2" s="144"/>
      <c r="G2" s="145"/>
    </row>
    <row r="3" spans="1:10" ht="39.75" customHeight="1" thickBot="1" x14ac:dyDescent="0.25">
      <c r="A3" s="139"/>
      <c r="B3" s="140"/>
      <c r="C3" s="95"/>
      <c r="D3" s="96"/>
      <c r="E3" s="139"/>
      <c r="F3" s="186"/>
      <c r="G3" s="140"/>
    </row>
    <row r="4" spans="1:10" ht="15" x14ac:dyDescent="0.2">
      <c r="A4" s="81"/>
      <c r="B4" s="82"/>
      <c r="C4" s="131" t="s">
        <v>250</v>
      </c>
      <c r="D4" s="125"/>
      <c r="E4" s="127" t="s">
        <v>64</v>
      </c>
      <c r="F4" s="128"/>
      <c r="G4" s="129" t="s">
        <v>65</v>
      </c>
    </row>
    <row r="5" spans="1:10" ht="19.5" customHeight="1" thickBot="1" x14ac:dyDescent="0.25">
      <c r="A5" s="83"/>
      <c r="B5" s="84"/>
      <c r="C5" s="132"/>
      <c r="D5" s="126"/>
      <c r="E5" s="85" t="s">
        <v>62</v>
      </c>
      <c r="F5" s="86" t="s">
        <v>60</v>
      </c>
      <c r="G5" s="130"/>
    </row>
    <row r="6" spans="1:10" ht="35.1" customHeight="1" thickBot="1" x14ac:dyDescent="0.25">
      <c r="A6" s="54" t="s">
        <v>1</v>
      </c>
      <c r="B6" s="133" t="s">
        <v>7</v>
      </c>
      <c r="C6" s="134"/>
      <c r="D6" s="134"/>
      <c r="E6" s="134"/>
      <c r="F6" s="134"/>
      <c r="G6" s="135"/>
      <c r="H6" s="1"/>
      <c r="I6" s="2"/>
      <c r="J6" s="2"/>
    </row>
    <row r="7" spans="1:10" ht="20.100000000000001" customHeight="1" x14ac:dyDescent="0.2">
      <c r="A7" s="118" t="s">
        <v>56</v>
      </c>
      <c r="B7" s="149" t="s">
        <v>260</v>
      </c>
      <c r="C7" s="150"/>
      <c r="D7" s="150"/>
      <c r="E7" s="150"/>
      <c r="F7" s="150"/>
      <c r="G7" s="151"/>
      <c r="H7" s="1"/>
      <c r="I7" s="4"/>
      <c r="J7" s="2"/>
    </row>
    <row r="8" spans="1:10" s="6" customFormat="1" ht="20.100000000000001" customHeight="1" x14ac:dyDescent="0.2">
      <c r="A8" s="36" t="s">
        <v>104</v>
      </c>
      <c r="B8" s="37" t="s">
        <v>105</v>
      </c>
      <c r="C8" s="38" t="s">
        <v>212</v>
      </c>
      <c r="D8" s="90">
        <v>1.2</v>
      </c>
      <c r="E8" s="39" t="s">
        <v>82</v>
      </c>
      <c r="F8" s="31"/>
      <c r="G8" s="40" t="str">
        <f>IF(F8="","",IF(SUM($F$8:$F$11)&gt;6,"",F8*D8))</f>
        <v/>
      </c>
      <c r="H8" s="5"/>
      <c r="I8" s="180" t="str">
        <f>IF(SUM(F8:F11)&gt;6,"ACHTUNG:" &amp; CHAR(10) &amp; "Es wurden mehr als 6 WE eingegeben!" &amp; CHAR(10) &amp; "Eingabe bei Pkt. 1.2","")</f>
        <v/>
      </c>
    </row>
    <row r="9" spans="1:10" s="6" customFormat="1" ht="20.100000000000001" customHeight="1" x14ac:dyDescent="0.2">
      <c r="A9" s="36" t="s">
        <v>106</v>
      </c>
      <c r="B9" s="41" t="s">
        <v>109</v>
      </c>
      <c r="C9" s="42" t="s">
        <v>218</v>
      </c>
      <c r="D9" s="90">
        <v>1.7</v>
      </c>
      <c r="E9" s="43" t="s">
        <v>82</v>
      </c>
      <c r="F9" s="29"/>
      <c r="G9" s="40" t="str">
        <f>IF(F9="","",IF(SUM($F$8:$F$11)&gt;6,"",F9*D9))</f>
        <v/>
      </c>
      <c r="H9" s="5"/>
      <c r="I9" s="180"/>
    </row>
    <row r="10" spans="1:10" s="6" customFormat="1" ht="20.100000000000001" customHeight="1" x14ac:dyDescent="0.2">
      <c r="A10" s="36" t="s">
        <v>107</v>
      </c>
      <c r="B10" s="41" t="s">
        <v>110</v>
      </c>
      <c r="C10" s="42" t="s">
        <v>219</v>
      </c>
      <c r="D10" s="90">
        <v>1.9</v>
      </c>
      <c r="E10" s="43" t="s">
        <v>82</v>
      </c>
      <c r="F10" s="29"/>
      <c r="G10" s="40" t="str">
        <f>IF(F10="","",IF(SUM($F$8:$F$11)&gt;6,"",F10*D10))</f>
        <v/>
      </c>
      <c r="H10" s="7"/>
      <c r="I10" s="180"/>
    </row>
    <row r="11" spans="1:10" s="6" customFormat="1" ht="20.100000000000001" customHeight="1" x14ac:dyDescent="0.2">
      <c r="A11" s="36" t="s">
        <v>108</v>
      </c>
      <c r="B11" s="41" t="s">
        <v>115</v>
      </c>
      <c r="C11" s="42" t="s">
        <v>220</v>
      </c>
      <c r="D11" s="90">
        <v>2.1</v>
      </c>
      <c r="E11" s="43" t="s">
        <v>82</v>
      </c>
      <c r="F11" s="29"/>
      <c r="G11" s="40" t="str">
        <f>IF(F11="","",IF(SUM($F$8:$F$11)&gt;6,"",F11*D11))</f>
        <v/>
      </c>
      <c r="H11" s="7"/>
      <c r="I11" s="180"/>
    </row>
    <row r="12" spans="1:10" s="6" customFormat="1" ht="20.100000000000001" customHeight="1" x14ac:dyDescent="0.2">
      <c r="A12" s="117" t="s">
        <v>2</v>
      </c>
      <c r="B12" s="152" t="s">
        <v>261</v>
      </c>
      <c r="C12" s="153"/>
      <c r="D12" s="153"/>
      <c r="E12" s="153"/>
      <c r="F12" s="153"/>
      <c r="G12" s="154"/>
      <c r="H12" s="7"/>
    </row>
    <row r="13" spans="1:10" s="6" customFormat="1" ht="20.100000000000001" customHeight="1" x14ac:dyDescent="0.2">
      <c r="A13" s="36" t="s">
        <v>111</v>
      </c>
      <c r="B13" s="41" t="s">
        <v>105</v>
      </c>
      <c r="C13" s="42" t="s">
        <v>229</v>
      </c>
      <c r="D13" s="90">
        <f>1.2 * 0.85</f>
        <v>1.02</v>
      </c>
      <c r="E13" s="43" t="s">
        <v>82</v>
      </c>
      <c r="F13" s="29"/>
      <c r="G13" s="44" t="str">
        <f>IF(F13="","",IF(SUM($F$13:$F$16)&gt;6,F13*D13,""))</f>
        <v/>
      </c>
      <c r="H13" s="7"/>
      <c r="I13" s="180" t="str">
        <f>IF(AND(F13="",F14="",F15="",F16=""),"",IF(SUM(F13:F16)&gt;6,"","ACHTUNG:" &amp; CHAR(10) &amp; "Kontrollieren Sie bitte ob es sich um eine Wohnanlage handelt!" &amp; CHAR(10) &amp; "Eingabe bei Pkt. 1.1"))</f>
        <v/>
      </c>
    </row>
    <row r="14" spans="1:10" s="6" customFormat="1" ht="20.100000000000001" customHeight="1" x14ac:dyDescent="0.2">
      <c r="A14" s="36" t="s">
        <v>112</v>
      </c>
      <c r="B14" s="41" t="s">
        <v>109</v>
      </c>
      <c r="C14" s="42" t="s">
        <v>230</v>
      </c>
      <c r="D14" s="90">
        <f>1.7 * 0.85</f>
        <v>1.4449999999999998</v>
      </c>
      <c r="E14" s="43" t="s">
        <v>82</v>
      </c>
      <c r="F14" s="29"/>
      <c r="G14" s="44" t="str">
        <f>IF(F14="","",IF(SUM($F$13:$F$16)&gt;6,F14*D14,""))</f>
        <v/>
      </c>
      <c r="H14" s="7"/>
      <c r="I14" s="180"/>
    </row>
    <row r="15" spans="1:10" s="6" customFormat="1" ht="20.100000000000001" customHeight="1" x14ac:dyDescent="0.2">
      <c r="A15" s="36" t="s">
        <v>113</v>
      </c>
      <c r="B15" s="41" t="s">
        <v>110</v>
      </c>
      <c r="C15" s="42" t="s">
        <v>231</v>
      </c>
      <c r="D15" s="90">
        <f>1.9 * 0.85</f>
        <v>1.615</v>
      </c>
      <c r="E15" s="43" t="s">
        <v>82</v>
      </c>
      <c r="F15" s="29"/>
      <c r="G15" s="44" t="str">
        <f>IF(F15="","",IF(SUM($F$13:$F$16)&gt;6,F15*D15,""))</f>
        <v/>
      </c>
      <c r="H15" s="7"/>
      <c r="I15" s="180"/>
    </row>
    <row r="16" spans="1:10" s="6" customFormat="1" ht="20.100000000000001" customHeight="1" x14ac:dyDescent="0.2">
      <c r="A16" s="36" t="s">
        <v>114</v>
      </c>
      <c r="B16" s="41" t="s">
        <v>115</v>
      </c>
      <c r="C16" s="42" t="s">
        <v>232</v>
      </c>
      <c r="D16" s="90">
        <f>2.1 * 0.85</f>
        <v>1.7849999999999999</v>
      </c>
      <c r="E16" s="43" t="s">
        <v>82</v>
      </c>
      <c r="F16" s="29"/>
      <c r="G16" s="44" t="str">
        <f>IF(F16="","",IF(SUM($F$13:$F$16)&gt;6,F16*D16,""))</f>
        <v/>
      </c>
      <c r="H16" s="7"/>
      <c r="I16" s="180"/>
    </row>
    <row r="17" spans="1:9" s="6" customFormat="1" ht="20.100000000000001" customHeight="1" x14ac:dyDescent="0.2">
      <c r="A17" s="117" t="s">
        <v>3</v>
      </c>
      <c r="B17" s="149" t="s">
        <v>120</v>
      </c>
      <c r="C17" s="150"/>
      <c r="D17" s="150"/>
      <c r="E17" s="150"/>
      <c r="F17" s="150"/>
      <c r="G17" s="151"/>
      <c r="H17" s="7"/>
    </row>
    <row r="18" spans="1:9" s="6" customFormat="1" ht="20.100000000000001" customHeight="1" x14ac:dyDescent="0.2">
      <c r="A18" s="45" t="s">
        <v>116</v>
      </c>
      <c r="B18" s="158" t="s">
        <v>118</v>
      </c>
      <c r="C18" s="159"/>
      <c r="D18" s="159"/>
      <c r="E18" s="159"/>
      <c r="F18" s="159"/>
      <c r="G18" s="160"/>
      <c r="H18" s="7"/>
    </row>
    <row r="19" spans="1:9" s="6" customFormat="1" ht="20.100000000000001" customHeight="1" x14ac:dyDescent="0.2">
      <c r="A19" s="36" t="s">
        <v>121</v>
      </c>
      <c r="B19" s="41" t="s">
        <v>105</v>
      </c>
      <c r="C19" s="42" t="s">
        <v>221</v>
      </c>
      <c r="D19" s="90">
        <f>1.2*0.75</f>
        <v>0.89999999999999991</v>
      </c>
      <c r="E19" s="43" t="s">
        <v>82</v>
      </c>
      <c r="F19" s="29"/>
      <c r="G19" s="44" t="str">
        <f>IF(F19="","",IF(SUM($F$19:$F$22)&gt;5,"",F19*D19))</f>
        <v/>
      </c>
      <c r="H19" s="7"/>
      <c r="I19" s="180" t="str">
        <f>IF(SUM(F19:F22)&gt;5,"ACHTUNG:" &amp; CHAR(10) &amp; "Es wurden mehr als 5 WE eingegeben!" &amp; CHAR(10) &amp; "Eingabe bei Pkt. 1.3.2","")</f>
        <v/>
      </c>
    </row>
    <row r="20" spans="1:9" s="6" customFormat="1" ht="20.100000000000001" customHeight="1" x14ac:dyDescent="0.2">
      <c r="A20" s="36" t="s">
        <v>122</v>
      </c>
      <c r="B20" s="41" t="s">
        <v>109</v>
      </c>
      <c r="C20" s="42" t="s">
        <v>222</v>
      </c>
      <c r="D20" s="90">
        <f>1.7 * 0.75</f>
        <v>1.2749999999999999</v>
      </c>
      <c r="E20" s="43" t="s">
        <v>82</v>
      </c>
      <c r="F20" s="29"/>
      <c r="G20" s="44" t="str">
        <f t="shared" ref="G20:G22" si="0">IF(F20="","",IF(SUM($F$19:$F$22)&gt;5,"",F20*D20))</f>
        <v/>
      </c>
      <c r="H20" s="7"/>
      <c r="I20" s="180"/>
    </row>
    <row r="21" spans="1:9" s="6" customFormat="1" ht="20.100000000000001" customHeight="1" x14ac:dyDescent="0.2">
      <c r="A21" s="36" t="s">
        <v>123</v>
      </c>
      <c r="B21" s="41" t="s">
        <v>110</v>
      </c>
      <c r="C21" s="42" t="s">
        <v>223</v>
      </c>
      <c r="D21" s="90">
        <f>1.9 * 0.75</f>
        <v>1.4249999999999998</v>
      </c>
      <c r="E21" s="43" t="s">
        <v>82</v>
      </c>
      <c r="F21" s="29"/>
      <c r="G21" s="44" t="str">
        <f t="shared" si="0"/>
        <v/>
      </c>
      <c r="H21" s="7"/>
      <c r="I21" s="180"/>
    </row>
    <row r="22" spans="1:9" s="6" customFormat="1" ht="20.100000000000001" customHeight="1" x14ac:dyDescent="0.2">
      <c r="A22" s="36" t="s">
        <v>124</v>
      </c>
      <c r="B22" s="41" t="s">
        <v>115</v>
      </c>
      <c r="C22" s="42" t="s">
        <v>224</v>
      </c>
      <c r="D22" s="90">
        <f>2.1*0.75</f>
        <v>1.5750000000000002</v>
      </c>
      <c r="E22" s="43" t="s">
        <v>82</v>
      </c>
      <c r="F22" s="29"/>
      <c r="G22" s="44" t="str">
        <f t="shared" si="0"/>
        <v/>
      </c>
      <c r="H22" s="7"/>
      <c r="I22" s="180"/>
    </row>
    <row r="23" spans="1:9" s="6" customFormat="1" ht="20.100000000000001" customHeight="1" x14ac:dyDescent="0.2">
      <c r="A23" s="45" t="s">
        <v>117</v>
      </c>
      <c r="B23" s="155" t="s">
        <v>119</v>
      </c>
      <c r="C23" s="156"/>
      <c r="D23" s="156"/>
      <c r="E23" s="156"/>
      <c r="F23" s="156"/>
      <c r="G23" s="157"/>
      <c r="H23" s="7"/>
    </row>
    <row r="24" spans="1:9" s="6" customFormat="1" ht="20.100000000000001" customHeight="1" x14ac:dyDescent="0.2">
      <c r="A24" s="36" t="s">
        <v>125</v>
      </c>
      <c r="B24" s="41" t="s">
        <v>105</v>
      </c>
      <c r="C24" s="42" t="s">
        <v>225</v>
      </c>
      <c r="D24" s="90">
        <f>1.2 * 0.65</f>
        <v>0.78</v>
      </c>
      <c r="E24" s="43" t="s">
        <v>82</v>
      </c>
      <c r="F24" s="29"/>
      <c r="G24" s="44" t="str">
        <f>IF(F24="","",IF(SUM($F$24:$F$29)&gt;5,F24*D24,""))</f>
        <v/>
      </c>
      <c r="H24" s="7"/>
      <c r="I24" s="180" t="str">
        <f>IF(AND(F24="",F25="",F26="",F27=""),"",IF(SUM(F24:F27)&gt;5,"","ACHTUNG:" &amp; CHAR(10) &amp; "Kontrollieren Sie bitte ob es sich um eine Wohnanlage handelt!" &amp; CHAR(10) &amp; "Eingabe bei Pkt. 1.3.1"))</f>
        <v/>
      </c>
    </row>
    <row r="25" spans="1:9" s="6" customFormat="1" ht="20.100000000000001" customHeight="1" x14ac:dyDescent="0.2">
      <c r="A25" s="36" t="s">
        <v>126</v>
      </c>
      <c r="B25" s="41" t="s">
        <v>109</v>
      </c>
      <c r="C25" s="42" t="s">
        <v>226</v>
      </c>
      <c r="D25" s="90">
        <f>1.7*0.65</f>
        <v>1.105</v>
      </c>
      <c r="E25" s="43" t="s">
        <v>82</v>
      </c>
      <c r="F25" s="29"/>
      <c r="G25" s="44" t="str">
        <f t="shared" ref="G25:G27" si="1">IF(F25="","",IF(SUM($F$24:$F$29)&gt;5,F25*D25,""))</f>
        <v/>
      </c>
      <c r="H25" s="7"/>
      <c r="I25" s="180"/>
    </row>
    <row r="26" spans="1:9" s="6" customFormat="1" ht="20.100000000000001" customHeight="1" x14ac:dyDescent="0.2">
      <c r="A26" s="36" t="s">
        <v>127</v>
      </c>
      <c r="B26" s="41" t="s">
        <v>110</v>
      </c>
      <c r="C26" s="42" t="s">
        <v>227</v>
      </c>
      <c r="D26" s="90">
        <f>1.9*0.65</f>
        <v>1.2349999999999999</v>
      </c>
      <c r="E26" s="43" t="s">
        <v>82</v>
      </c>
      <c r="F26" s="29"/>
      <c r="G26" s="44" t="str">
        <f t="shared" si="1"/>
        <v/>
      </c>
      <c r="H26" s="7"/>
      <c r="I26" s="180"/>
    </row>
    <row r="27" spans="1:9" s="6" customFormat="1" ht="20.100000000000001" customHeight="1" x14ac:dyDescent="0.2">
      <c r="A27" s="36" t="s">
        <v>128</v>
      </c>
      <c r="B27" s="41" t="s">
        <v>115</v>
      </c>
      <c r="C27" s="42" t="s">
        <v>228</v>
      </c>
      <c r="D27" s="90">
        <f>2.1*0.65</f>
        <v>1.3650000000000002</v>
      </c>
      <c r="E27" s="43" t="s">
        <v>82</v>
      </c>
      <c r="F27" s="29"/>
      <c r="G27" s="44" t="str">
        <f t="shared" si="1"/>
        <v/>
      </c>
      <c r="H27" s="7"/>
      <c r="I27" s="180"/>
    </row>
    <row r="28" spans="1:9" s="6" customFormat="1" ht="30" customHeight="1" x14ac:dyDescent="0.2">
      <c r="A28" s="45" t="s">
        <v>5</v>
      </c>
      <c r="B28" s="46" t="s">
        <v>4</v>
      </c>
      <c r="C28" s="47" t="s">
        <v>158</v>
      </c>
      <c r="D28" s="90">
        <f>1/20</f>
        <v>0.05</v>
      </c>
      <c r="E28" s="43" t="s">
        <v>200</v>
      </c>
      <c r="F28" s="29"/>
      <c r="G28" s="44" t="str">
        <f>IF(F28="","",IF(F28*D28&lt;2,2,F28*D28))</f>
        <v/>
      </c>
      <c r="H28" s="8"/>
      <c r="I28" s="107" t="s">
        <v>269</v>
      </c>
    </row>
    <row r="29" spans="1:9" s="6" customFormat="1" ht="30" customHeight="1" thickBot="1" x14ac:dyDescent="0.25">
      <c r="A29" s="49" t="s">
        <v>99</v>
      </c>
      <c r="B29" s="50" t="s">
        <v>6</v>
      </c>
      <c r="C29" s="51" t="s">
        <v>177</v>
      </c>
      <c r="D29" s="90">
        <f>1/3</f>
        <v>0.33333333333333331</v>
      </c>
      <c r="E29" s="52" t="s">
        <v>200</v>
      </c>
      <c r="F29" s="33"/>
      <c r="G29" s="53" t="str">
        <f>IF(F29="","",IF(F29*D29&lt;2,2,F29*D29))</f>
        <v/>
      </c>
      <c r="H29" s="7"/>
      <c r="I29" s="124">
        <f>ROUND(SUM(G8:G11,G13:G16,G19:G22,G24:G29),0)</f>
        <v>0</v>
      </c>
    </row>
    <row r="30" spans="1:9" s="6" customFormat="1" ht="35.1" customHeight="1" thickBot="1" x14ac:dyDescent="0.25">
      <c r="A30" s="54" t="s">
        <v>8</v>
      </c>
      <c r="B30" s="133" t="s">
        <v>0</v>
      </c>
      <c r="C30" s="134"/>
      <c r="D30" s="134"/>
      <c r="E30" s="134"/>
      <c r="F30" s="134"/>
      <c r="G30" s="135"/>
      <c r="H30" s="7"/>
    </row>
    <row r="31" spans="1:9" s="6" customFormat="1" ht="50.1" customHeight="1" thickBot="1" x14ac:dyDescent="0.25">
      <c r="A31" s="55" t="s">
        <v>9</v>
      </c>
      <c r="B31" s="56" t="s">
        <v>133</v>
      </c>
      <c r="C31" s="57" t="s">
        <v>189</v>
      </c>
      <c r="D31" s="90">
        <f>1/40</f>
        <v>2.5000000000000001E-2</v>
      </c>
      <c r="E31" s="58" t="s">
        <v>201</v>
      </c>
      <c r="F31" s="34"/>
      <c r="G31" s="59" t="str">
        <f>IF(F31="","",IF(F31*D31&lt;2,2,F31*D31))</f>
        <v/>
      </c>
      <c r="H31" s="7"/>
    </row>
    <row r="32" spans="1:9" s="6" customFormat="1" ht="35.1" customHeight="1" thickBot="1" x14ac:dyDescent="0.25">
      <c r="A32" s="54" t="s">
        <v>10</v>
      </c>
      <c r="B32" s="133" t="s">
        <v>11</v>
      </c>
      <c r="C32" s="134"/>
      <c r="D32" s="134"/>
      <c r="E32" s="134"/>
      <c r="F32" s="134"/>
      <c r="G32" s="135"/>
      <c r="H32" s="7"/>
    </row>
    <row r="33" spans="1:8" s="6" customFormat="1" ht="30" customHeight="1" x14ac:dyDescent="0.2">
      <c r="A33" s="60" t="s">
        <v>12</v>
      </c>
      <c r="B33" s="61" t="s">
        <v>17</v>
      </c>
      <c r="C33" s="62" t="s">
        <v>141</v>
      </c>
      <c r="D33" s="90">
        <f>1/20</f>
        <v>0.05</v>
      </c>
      <c r="E33" s="39" t="s">
        <v>202</v>
      </c>
      <c r="F33" s="31"/>
      <c r="G33" s="40" t="str">
        <f>IF(F33="","",IF(F33*D33&lt;2,2,F33*D33))</f>
        <v/>
      </c>
      <c r="H33" s="7"/>
    </row>
    <row r="34" spans="1:8" s="6" customFormat="1" ht="30" customHeight="1" x14ac:dyDescent="0.2">
      <c r="A34" s="63" t="s">
        <v>13</v>
      </c>
      <c r="B34" s="64" t="s">
        <v>134</v>
      </c>
      <c r="C34" s="51" t="s">
        <v>162</v>
      </c>
      <c r="D34" s="90">
        <f>1/15</f>
        <v>6.6666666666666666E-2</v>
      </c>
      <c r="E34" s="43" t="s">
        <v>202</v>
      </c>
      <c r="F34" s="29"/>
      <c r="G34" s="44" t="str">
        <f>IF(F34="","",IF(F34*D34&lt;2,2,F34*D34))</f>
        <v/>
      </c>
      <c r="H34" s="7"/>
    </row>
    <row r="35" spans="1:8" s="6" customFormat="1" ht="36.75" customHeight="1" x14ac:dyDescent="0.2">
      <c r="A35" s="65" t="s">
        <v>14</v>
      </c>
      <c r="B35" s="103" t="s">
        <v>252</v>
      </c>
      <c r="C35" s="51" t="s">
        <v>162</v>
      </c>
      <c r="D35" s="90">
        <f>1/15</f>
        <v>6.6666666666666666E-2</v>
      </c>
      <c r="E35" s="43" t="s">
        <v>202</v>
      </c>
      <c r="F35" s="29"/>
      <c r="G35" s="44" t="str">
        <f>IF(F35="","",IF(F35*D35&lt;2,2,F35*D35))</f>
        <v/>
      </c>
      <c r="H35" s="8"/>
    </row>
    <row r="36" spans="1:8" s="6" customFormat="1" ht="30" customHeight="1" thickBot="1" x14ac:dyDescent="0.25">
      <c r="A36" s="70" t="s">
        <v>16</v>
      </c>
      <c r="B36" s="50" t="s">
        <v>18</v>
      </c>
      <c r="C36" s="71" t="s">
        <v>163</v>
      </c>
      <c r="D36" s="90">
        <f>1/100</f>
        <v>0.01</v>
      </c>
      <c r="E36" s="52" t="s">
        <v>203</v>
      </c>
      <c r="F36" s="33"/>
      <c r="G36" s="53" t="str">
        <f>IF(F36="","",F36*D36)</f>
        <v/>
      </c>
      <c r="H36" s="8"/>
    </row>
    <row r="37" spans="1:8" s="6" customFormat="1" ht="35.1" customHeight="1" thickBot="1" x14ac:dyDescent="0.25">
      <c r="A37" s="54" t="s">
        <v>19</v>
      </c>
      <c r="B37" s="133" t="s">
        <v>20</v>
      </c>
      <c r="C37" s="134"/>
      <c r="D37" s="134"/>
      <c r="E37" s="134"/>
      <c r="F37" s="134"/>
      <c r="G37" s="135"/>
      <c r="H37" s="8"/>
    </row>
    <row r="38" spans="1:8" s="6" customFormat="1" ht="30" customHeight="1" x14ac:dyDescent="0.2">
      <c r="A38" s="72" t="s">
        <v>21</v>
      </c>
      <c r="B38" s="61" t="s">
        <v>22</v>
      </c>
      <c r="C38" s="47" t="s">
        <v>190</v>
      </c>
      <c r="D38" s="90">
        <f>1/8</f>
        <v>0.125</v>
      </c>
      <c r="E38" s="43" t="s">
        <v>204</v>
      </c>
      <c r="F38" s="29"/>
      <c r="G38" s="53" t="str">
        <f>IF(F38="","",IF(F38*D38&lt;2,2,F38*D38))</f>
        <v/>
      </c>
      <c r="H38" s="7"/>
    </row>
    <row r="39" spans="1:8" s="6" customFormat="1" ht="30" customHeight="1" x14ac:dyDescent="0.2">
      <c r="A39" s="69" t="s">
        <v>23</v>
      </c>
      <c r="B39" s="46" t="s">
        <v>24</v>
      </c>
      <c r="C39" s="47" t="s">
        <v>191</v>
      </c>
      <c r="D39" s="90">
        <f>1/3</f>
        <v>0.33333333333333331</v>
      </c>
      <c r="E39" s="43" t="s">
        <v>200</v>
      </c>
      <c r="F39" s="29"/>
      <c r="G39" s="53" t="str">
        <f>IF(F39="","",IF(F39*D39&lt;2,2,F39*D39))</f>
        <v/>
      </c>
      <c r="H39" s="7"/>
    </row>
    <row r="40" spans="1:8" s="6" customFormat="1" ht="30" customHeight="1" thickBot="1" x14ac:dyDescent="0.25">
      <c r="A40" s="70" t="s">
        <v>25</v>
      </c>
      <c r="B40" s="50" t="s">
        <v>26</v>
      </c>
      <c r="C40" s="51" t="s">
        <v>192</v>
      </c>
      <c r="D40" s="90">
        <f>1/10</f>
        <v>0.1</v>
      </c>
      <c r="E40" s="52" t="s">
        <v>200</v>
      </c>
      <c r="F40" s="33"/>
      <c r="G40" s="53" t="str">
        <f>IF(F40="","",IF(F40*D40&lt;2,2,F40*D40))</f>
        <v/>
      </c>
      <c r="H40" s="7"/>
    </row>
    <row r="41" spans="1:8" s="6" customFormat="1" ht="35.1" customHeight="1" thickBot="1" x14ac:dyDescent="0.25">
      <c r="A41" s="54" t="s">
        <v>27</v>
      </c>
      <c r="B41" s="133" t="s">
        <v>28</v>
      </c>
      <c r="C41" s="134"/>
      <c r="D41" s="134"/>
      <c r="E41" s="134"/>
      <c r="F41" s="134"/>
      <c r="G41" s="135"/>
      <c r="H41" s="7"/>
    </row>
    <row r="42" spans="1:8" s="6" customFormat="1" ht="24.95" customHeight="1" x14ac:dyDescent="0.2">
      <c r="A42" s="162" t="s">
        <v>29</v>
      </c>
      <c r="B42" s="166" t="s">
        <v>30</v>
      </c>
      <c r="C42" s="164" t="s">
        <v>193</v>
      </c>
      <c r="D42" s="90">
        <f>1/200</f>
        <v>5.0000000000000001E-3</v>
      </c>
      <c r="E42" s="43" t="s">
        <v>201</v>
      </c>
      <c r="F42" s="29"/>
      <c r="G42" s="168" t="str">
        <f>IF(F42="","",IF(F43="","",IF(F42*D42+F43*D43&lt;2,2,F42*D42+F43*D43)))</f>
        <v/>
      </c>
      <c r="H42" s="7"/>
    </row>
    <row r="43" spans="1:8" s="6" customFormat="1" ht="24.95" customHeight="1" x14ac:dyDescent="0.2">
      <c r="A43" s="163"/>
      <c r="B43" s="167"/>
      <c r="C43" s="165"/>
      <c r="D43" s="90">
        <f>1/2</f>
        <v>0.5</v>
      </c>
      <c r="E43" s="43" t="s">
        <v>68</v>
      </c>
      <c r="F43" s="29"/>
      <c r="G43" s="169"/>
      <c r="H43" s="8"/>
    </row>
    <row r="44" spans="1:8" s="6" customFormat="1" ht="33.75" hidden="1" customHeight="1" x14ac:dyDescent="0.2">
      <c r="A44" s="69" t="s">
        <v>31</v>
      </c>
      <c r="B44" s="46" t="s">
        <v>32</v>
      </c>
      <c r="C44" s="47" t="s">
        <v>57</v>
      </c>
      <c r="D44" s="90">
        <v>1.2500000000000001E-2</v>
      </c>
      <c r="E44" s="43" t="s">
        <v>61</v>
      </c>
      <c r="F44" s="29"/>
      <c r="G44" s="73" t="str">
        <f>IF($F$44="","",$F$44*$D$44)</f>
        <v/>
      </c>
      <c r="H44" s="8"/>
    </row>
    <row r="45" spans="1:8" s="6" customFormat="1" ht="20.100000000000001" customHeight="1" x14ac:dyDescent="0.2">
      <c r="A45" s="69" t="s">
        <v>31</v>
      </c>
      <c r="B45" s="46" t="s">
        <v>32</v>
      </c>
      <c r="C45" s="42" t="s">
        <v>194</v>
      </c>
      <c r="D45" s="90">
        <f>1/150</f>
        <v>6.6666666666666671E-3</v>
      </c>
      <c r="E45" s="43" t="s">
        <v>205</v>
      </c>
      <c r="F45" s="29"/>
      <c r="G45" s="53" t="str">
        <f>IF(F45="","",F45*D45)</f>
        <v/>
      </c>
      <c r="H45" s="8"/>
    </row>
    <row r="46" spans="1:8" s="6" customFormat="1" ht="20.100000000000001" customHeight="1" thickBot="1" x14ac:dyDescent="0.25">
      <c r="A46" s="70" t="s">
        <v>33</v>
      </c>
      <c r="B46" s="50" t="s">
        <v>34</v>
      </c>
      <c r="C46" s="51" t="s">
        <v>58</v>
      </c>
      <c r="D46" s="90">
        <v>2</v>
      </c>
      <c r="E46" s="52" t="s">
        <v>34</v>
      </c>
      <c r="F46" s="33"/>
      <c r="G46" s="53" t="str">
        <f>IF(F46="","",F46*D46)</f>
        <v/>
      </c>
      <c r="H46" s="8"/>
    </row>
    <row r="47" spans="1:8" s="6" customFormat="1" ht="35.1" customHeight="1" thickBot="1" x14ac:dyDescent="0.25">
      <c r="A47" s="54" t="s">
        <v>35</v>
      </c>
      <c r="B47" s="133" t="s">
        <v>36</v>
      </c>
      <c r="C47" s="134"/>
      <c r="D47" s="134"/>
      <c r="E47" s="134"/>
      <c r="F47" s="134"/>
      <c r="G47" s="135"/>
      <c r="H47" s="8"/>
    </row>
    <row r="48" spans="1:8" s="6" customFormat="1" ht="30" customHeight="1" x14ac:dyDescent="0.2">
      <c r="A48" s="72" t="s">
        <v>37</v>
      </c>
      <c r="B48" s="61" t="s">
        <v>146</v>
      </c>
      <c r="C48" s="62" t="s">
        <v>195</v>
      </c>
      <c r="D48" s="90">
        <f>1/5</f>
        <v>0.2</v>
      </c>
      <c r="E48" s="39" t="s">
        <v>70</v>
      </c>
      <c r="F48" s="31"/>
      <c r="G48" s="53" t="str">
        <f>IF(F48="","",F48*D48)</f>
        <v/>
      </c>
      <c r="H48" s="7"/>
    </row>
    <row r="49" spans="1:19" s="6" customFormat="1" ht="30" customHeight="1" thickBot="1" x14ac:dyDescent="0.25">
      <c r="A49" s="70" t="s">
        <v>38</v>
      </c>
      <c r="B49" s="50" t="s">
        <v>148</v>
      </c>
      <c r="C49" s="51" t="s">
        <v>178</v>
      </c>
      <c r="D49" s="90">
        <f>1/10</f>
        <v>0.1</v>
      </c>
      <c r="E49" s="52" t="s">
        <v>70</v>
      </c>
      <c r="F49" s="33"/>
      <c r="G49" s="53" t="str">
        <f>IF(F49="","",F49*D49)</f>
        <v/>
      </c>
      <c r="H49" s="7"/>
    </row>
    <row r="50" spans="1:19" s="6" customFormat="1" ht="35.1" customHeight="1" thickBot="1" x14ac:dyDescent="0.25">
      <c r="A50" s="54" t="s">
        <v>39</v>
      </c>
      <c r="B50" s="133" t="s">
        <v>40</v>
      </c>
      <c r="C50" s="134"/>
      <c r="D50" s="134"/>
      <c r="E50" s="134"/>
      <c r="F50" s="134"/>
      <c r="G50" s="135"/>
      <c r="H50" s="7"/>
    </row>
    <row r="51" spans="1:19" s="6" customFormat="1" ht="20.100000000000001" customHeight="1" x14ac:dyDescent="0.2">
      <c r="A51" s="72" t="s">
        <v>41</v>
      </c>
      <c r="B51" s="61" t="s">
        <v>42</v>
      </c>
      <c r="C51" s="62" t="s">
        <v>196</v>
      </c>
      <c r="D51" s="90">
        <f>1/1</f>
        <v>1</v>
      </c>
      <c r="E51" s="39" t="s">
        <v>206</v>
      </c>
      <c r="F51" s="31"/>
      <c r="G51" s="53" t="str">
        <f>IF(F51="","",F51*D51)</f>
        <v/>
      </c>
      <c r="H51" s="7"/>
    </row>
    <row r="52" spans="1:19" s="6" customFormat="1" ht="30" customHeight="1" x14ac:dyDescent="0.2">
      <c r="A52" s="69" t="s">
        <v>43</v>
      </c>
      <c r="B52" s="46" t="s">
        <v>44</v>
      </c>
      <c r="C52" s="47" t="s">
        <v>197</v>
      </c>
      <c r="D52" s="90">
        <f>1/1</f>
        <v>1</v>
      </c>
      <c r="E52" s="43" t="s">
        <v>207</v>
      </c>
      <c r="F52" s="29"/>
      <c r="G52" s="53" t="str">
        <f t="shared" ref="G52" si="2">IF(F52="","",F52*D52)</f>
        <v/>
      </c>
      <c r="H52" s="7"/>
    </row>
    <row r="53" spans="1:19" s="6" customFormat="1" ht="43.5" thickBot="1" x14ac:dyDescent="0.25">
      <c r="A53" s="70" t="s">
        <v>45</v>
      </c>
      <c r="B53" s="50" t="s">
        <v>256</v>
      </c>
      <c r="C53" s="51" t="s">
        <v>257</v>
      </c>
      <c r="D53" s="90">
        <f>1/10</f>
        <v>0.1</v>
      </c>
      <c r="E53" s="52" t="s">
        <v>208</v>
      </c>
      <c r="F53" s="33"/>
      <c r="G53" s="53" t="str">
        <f>IF(F53="","",IF(F53*D53&lt;2,2,F53*D53))</f>
        <v/>
      </c>
      <c r="H53" s="7"/>
    </row>
    <row r="54" spans="1:19" s="6" customFormat="1" ht="35.1" customHeight="1" thickBot="1" x14ac:dyDescent="0.25">
      <c r="A54" s="54" t="s">
        <v>47</v>
      </c>
      <c r="B54" s="133" t="s">
        <v>46</v>
      </c>
      <c r="C54" s="134"/>
      <c r="D54" s="134"/>
      <c r="E54" s="134"/>
      <c r="F54" s="134"/>
      <c r="G54" s="135"/>
      <c r="H54" s="7"/>
    </row>
    <row r="55" spans="1:19" s="6" customFormat="1" ht="29.25" thickBot="1" x14ac:dyDescent="0.25">
      <c r="A55" s="74" t="s">
        <v>48</v>
      </c>
      <c r="B55" s="75" t="s">
        <v>49</v>
      </c>
      <c r="C55" s="51" t="s">
        <v>198</v>
      </c>
      <c r="D55" s="90">
        <f>1/8</f>
        <v>0.125</v>
      </c>
      <c r="E55" s="52" t="s">
        <v>200</v>
      </c>
      <c r="F55" s="33"/>
      <c r="G55" s="53" t="str">
        <f>IF(F55="","",F55*D55)</f>
        <v/>
      </c>
      <c r="H55" s="7"/>
    </row>
    <row r="56" spans="1:19" s="6" customFormat="1" ht="35.1" customHeight="1" thickBot="1" x14ac:dyDescent="0.25">
      <c r="A56" s="54" t="s">
        <v>50</v>
      </c>
      <c r="B56" s="133" t="s">
        <v>51</v>
      </c>
      <c r="C56" s="134"/>
      <c r="D56" s="134"/>
      <c r="E56" s="134"/>
      <c r="F56" s="134"/>
      <c r="G56" s="135"/>
      <c r="H56" s="7"/>
    </row>
    <row r="57" spans="1:19" s="6" customFormat="1" hidden="1" x14ac:dyDescent="0.2">
      <c r="A57" s="72" t="s">
        <v>55</v>
      </c>
      <c r="B57" s="61" t="s">
        <v>54</v>
      </c>
      <c r="C57" s="62" t="s">
        <v>59</v>
      </c>
      <c r="D57" s="48">
        <v>0.5</v>
      </c>
      <c r="E57" s="39" t="s">
        <v>63</v>
      </c>
      <c r="F57" s="88"/>
      <c r="G57" s="89" t="str">
        <f>IF($F$57="","",$F$57*$D$57)</f>
        <v/>
      </c>
      <c r="H57" s="7"/>
    </row>
    <row r="58" spans="1:19" s="6" customFormat="1" ht="20.100000000000001" customHeight="1" x14ac:dyDescent="0.2">
      <c r="A58" s="70" t="s">
        <v>52</v>
      </c>
      <c r="B58" s="50" t="s">
        <v>15</v>
      </c>
      <c r="C58" s="51" t="s">
        <v>199</v>
      </c>
      <c r="D58" s="90">
        <f>1/2</f>
        <v>0.5</v>
      </c>
      <c r="E58" s="52" t="s">
        <v>209</v>
      </c>
      <c r="F58" s="87"/>
      <c r="G58" s="53" t="str">
        <f>IF(F58="","",F58*D58)</f>
        <v/>
      </c>
      <c r="H58" s="7"/>
      <c r="I58" s="107" t="s">
        <v>268</v>
      </c>
    </row>
    <row r="59" spans="1:19" s="6" customFormat="1" ht="20.100000000000001" customHeight="1" thickBot="1" x14ac:dyDescent="0.25">
      <c r="A59" s="76" t="s">
        <v>53</v>
      </c>
      <c r="B59" s="77" t="s">
        <v>54</v>
      </c>
      <c r="C59" s="78" t="s">
        <v>59</v>
      </c>
      <c r="D59" s="92">
        <f>1/2</f>
        <v>0.5</v>
      </c>
      <c r="E59" s="79" t="s">
        <v>210</v>
      </c>
      <c r="F59" s="30"/>
      <c r="G59" s="53" t="str">
        <f>IF(F59="","",F59*D59)</f>
        <v/>
      </c>
      <c r="H59" s="7"/>
      <c r="I59" s="124">
        <f>ROUND(SUM(G31,G33:G36,G38:G40,G42:G46,G48:G49,G51:G53,G55,G58:G59),0)</f>
        <v>0</v>
      </c>
    </row>
    <row r="60" spans="1:19" s="6" customFormat="1" ht="39.950000000000003" customHeight="1" thickBot="1" x14ac:dyDescent="0.25">
      <c r="A60" s="170" t="s">
        <v>98</v>
      </c>
      <c r="B60" s="171"/>
      <c r="C60" s="171"/>
      <c r="D60" s="171"/>
      <c r="E60" s="171"/>
      <c r="F60" s="172"/>
      <c r="G60" s="80">
        <f>SUM($G$6:$G$59)</f>
        <v>0</v>
      </c>
      <c r="H60" s="7"/>
    </row>
    <row r="61" spans="1:19" s="6" customFormat="1" ht="39.950000000000003" customHeight="1" thickBot="1" x14ac:dyDescent="0.25">
      <c r="A61" s="170" t="s">
        <v>264</v>
      </c>
      <c r="B61" s="171"/>
      <c r="C61" s="171"/>
      <c r="D61" s="171"/>
      <c r="E61" s="171"/>
      <c r="F61" s="172"/>
      <c r="G61" s="80">
        <f>IF(G60=SUM(G8:G11),0,IF((G60-SUM(G8:G11))&gt;=5,ROUNDUP((G60-SUM(G8:G11))/20,0),0))</f>
        <v>0</v>
      </c>
      <c r="H61" s="7"/>
      <c r="I61" s="123" t="str">
        <f>IF(F48="","","ACHTUNG:" &amp; CHAR(10) &amp; "separate Regeln für Veranstaltungsstätten")</f>
        <v/>
      </c>
    </row>
    <row r="62" spans="1:19" s="6" customFormat="1" ht="39.950000000000003" customHeight="1" thickBot="1" x14ac:dyDescent="0.25">
      <c r="A62" s="173" t="s">
        <v>271</v>
      </c>
      <c r="B62" s="171"/>
      <c r="C62" s="171"/>
      <c r="D62" s="171"/>
      <c r="E62" s="171"/>
      <c r="F62" s="172"/>
      <c r="G62" s="80">
        <f>IF(SUM(G13:G16)=0,0,SUM(G13:G16)*0.13)</f>
        <v>0</v>
      </c>
      <c r="H62" s="7"/>
      <c r="I62" s="123"/>
      <c r="J62" s="107"/>
      <c r="K62" s="107"/>
      <c r="L62" s="107"/>
      <c r="M62" s="107"/>
      <c r="N62" s="107"/>
      <c r="O62" s="107"/>
      <c r="P62" s="107"/>
      <c r="Q62" s="107"/>
      <c r="R62" s="107"/>
      <c r="S62" s="107"/>
    </row>
    <row r="63" spans="1:19" s="6" customFormat="1" ht="39.950000000000003" customHeight="1" thickBot="1" x14ac:dyDescent="0.25">
      <c r="A63" s="174" t="s">
        <v>266</v>
      </c>
      <c r="B63" s="175"/>
      <c r="C63" s="170" t="s">
        <v>262</v>
      </c>
      <c r="D63" s="171"/>
      <c r="E63" s="171"/>
      <c r="F63" s="172"/>
      <c r="G63" s="80">
        <f>IF(I59&gt;10,1,0)</f>
        <v>0</v>
      </c>
      <c r="H63" s="7"/>
      <c r="I63" s="182" t="s">
        <v>267</v>
      </c>
    </row>
    <row r="64" spans="1:19" s="6" customFormat="1" ht="39.950000000000003" customHeight="1" thickBot="1" x14ac:dyDescent="0.25">
      <c r="A64" s="176"/>
      <c r="B64" s="177"/>
      <c r="C64" s="173" t="s">
        <v>263</v>
      </c>
      <c r="D64" s="171"/>
      <c r="E64" s="171"/>
      <c r="F64" s="172"/>
      <c r="G64" s="80">
        <f>IF(I29&gt;10,I29,0)+IF(I59&gt;10,ROUNDUP(I59/5,0),0)</f>
        <v>0</v>
      </c>
      <c r="H64" s="7"/>
      <c r="I64" s="182"/>
    </row>
    <row r="65" spans="1:17" s="6" customFormat="1" ht="20.100000000000001" customHeight="1" x14ac:dyDescent="0.2">
      <c r="A65" s="98"/>
      <c r="B65" s="98"/>
      <c r="C65" s="98"/>
      <c r="D65" s="98"/>
      <c r="E65" s="98"/>
      <c r="F65" s="98"/>
      <c r="G65" s="99"/>
      <c r="H65" s="7"/>
    </row>
    <row r="66" spans="1:17" s="6" customFormat="1" ht="20.100000000000001" customHeight="1" x14ac:dyDescent="0.2">
      <c r="A66" s="98"/>
      <c r="B66" s="98"/>
      <c r="C66" s="100" t="s">
        <v>248</v>
      </c>
      <c r="D66" s="98"/>
      <c r="E66" s="98"/>
      <c r="F66" s="98"/>
      <c r="G66" s="99"/>
      <c r="H66" s="7"/>
    </row>
    <row r="67" spans="1:17" s="6" customFormat="1" ht="28.5" customHeight="1" x14ac:dyDescent="0.2">
      <c r="A67" s="181" t="s">
        <v>84</v>
      </c>
      <c r="B67" s="181"/>
      <c r="C67" s="181"/>
      <c r="D67" s="181"/>
      <c r="E67" s="181"/>
      <c r="F67" s="181"/>
      <c r="G67" s="181"/>
      <c r="H67" s="9"/>
    </row>
    <row r="68" spans="1:17" s="6" customFormat="1" ht="20.100000000000001" customHeight="1" x14ac:dyDescent="0.2">
      <c r="A68" s="12" t="s">
        <v>66</v>
      </c>
      <c r="B68" s="13"/>
      <c r="C68" s="13"/>
      <c r="D68" s="14"/>
      <c r="E68" s="13"/>
      <c r="F68" s="12"/>
      <c r="G68" s="12"/>
      <c r="H68" s="11"/>
      <c r="I68" s="11"/>
      <c r="J68" s="11"/>
      <c r="K68" s="11"/>
      <c r="L68" s="11"/>
      <c r="P68" s="11"/>
      <c r="Q68" s="11"/>
    </row>
    <row r="69" spans="1:17" s="6" customFormat="1" ht="20.100000000000001" customHeight="1" x14ac:dyDescent="0.2">
      <c r="A69" s="15" t="s">
        <v>67</v>
      </c>
      <c r="B69" s="15" t="s">
        <v>85</v>
      </c>
      <c r="C69" s="178" t="s">
        <v>265</v>
      </c>
      <c r="D69" s="178"/>
      <c r="E69" s="178"/>
      <c r="F69" s="178"/>
      <c r="G69" s="12"/>
      <c r="H69" s="11"/>
      <c r="I69" s="11"/>
      <c r="J69" s="11"/>
      <c r="K69" s="11"/>
      <c r="L69" s="11"/>
      <c r="P69" s="11"/>
      <c r="Q69" s="11"/>
    </row>
    <row r="70" spans="1:17" s="6" customFormat="1" ht="20.100000000000001" customHeight="1" x14ac:dyDescent="0.2">
      <c r="A70" s="17" t="s">
        <v>68</v>
      </c>
      <c r="B70" s="15" t="s">
        <v>86</v>
      </c>
      <c r="C70" s="178"/>
      <c r="D70" s="178"/>
      <c r="E70" s="178"/>
      <c r="F70" s="178"/>
      <c r="G70" s="12"/>
      <c r="H70" s="11"/>
      <c r="I70" s="11"/>
      <c r="J70" s="11"/>
      <c r="K70" s="11"/>
      <c r="L70" s="11"/>
      <c r="P70" s="11"/>
      <c r="Q70" s="11"/>
    </row>
    <row r="71" spans="1:17" s="6" customFormat="1" ht="20.100000000000001" customHeight="1" x14ac:dyDescent="0.2">
      <c r="A71" s="15" t="s">
        <v>69</v>
      </c>
      <c r="B71" s="15" t="s">
        <v>87</v>
      </c>
      <c r="C71" s="178"/>
      <c r="D71" s="178"/>
      <c r="E71" s="178"/>
      <c r="F71" s="178"/>
      <c r="G71" s="12"/>
      <c r="H71" s="11"/>
      <c r="I71" s="11"/>
      <c r="J71" s="11"/>
      <c r="K71" s="11"/>
      <c r="L71" s="11"/>
      <c r="P71" s="11"/>
      <c r="Q71" s="11"/>
    </row>
    <row r="72" spans="1:17" s="6" customFormat="1" ht="20.100000000000001" customHeight="1" x14ac:dyDescent="0.2">
      <c r="A72" s="15" t="s">
        <v>70</v>
      </c>
      <c r="B72" s="15" t="s">
        <v>88</v>
      </c>
      <c r="C72" s="178" t="s">
        <v>273</v>
      </c>
      <c r="D72" s="178"/>
      <c r="E72" s="178"/>
      <c r="F72" s="178"/>
      <c r="G72" s="12"/>
      <c r="H72" s="11"/>
      <c r="I72" s="11"/>
      <c r="J72" s="11"/>
      <c r="K72" s="11"/>
      <c r="L72" s="11"/>
      <c r="P72" s="11"/>
      <c r="Q72" s="11"/>
    </row>
    <row r="73" spans="1:17" s="6" customFormat="1" ht="20.100000000000001" customHeight="1" x14ac:dyDescent="0.2">
      <c r="A73" s="15" t="s">
        <v>71</v>
      </c>
      <c r="B73" s="15" t="s">
        <v>89</v>
      </c>
      <c r="C73" s="178"/>
      <c r="D73" s="178"/>
      <c r="E73" s="178"/>
      <c r="F73" s="178"/>
      <c r="G73" s="12"/>
      <c r="H73" s="11"/>
      <c r="I73" s="11"/>
      <c r="J73" s="11"/>
      <c r="K73" s="11"/>
      <c r="L73" s="11"/>
      <c r="P73" s="11"/>
      <c r="Q73" s="11"/>
    </row>
    <row r="74" spans="1:17" s="6" customFormat="1" ht="20.100000000000001" customHeight="1" x14ac:dyDescent="0.2">
      <c r="A74" s="15" t="s">
        <v>72</v>
      </c>
      <c r="B74" s="15" t="s">
        <v>90</v>
      </c>
      <c r="C74" s="178"/>
      <c r="D74" s="178"/>
      <c r="E74" s="178"/>
      <c r="F74" s="178"/>
      <c r="G74" s="12"/>
      <c r="H74" s="11"/>
      <c r="I74" s="11"/>
      <c r="J74" s="11"/>
      <c r="K74" s="11"/>
      <c r="L74" s="11"/>
      <c r="P74" s="11"/>
      <c r="Q74" s="11"/>
    </row>
    <row r="75" spans="1:17" s="6" customFormat="1" ht="20.100000000000001" customHeight="1" x14ac:dyDescent="0.2">
      <c r="A75" s="15" t="s">
        <v>73</v>
      </c>
      <c r="B75" s="15" t="s">
        <v>91</v>
      </c>
      <c r="C75" s="179" t="s">
        <v>272</v>
      </c>
      <c r="D75" s="179"/>
      <c r="E75" s="179"/>
      <c r="F75" s="12"/>
      <c r="G75" s="12"/>
      <c r="H75" s="11"/>
      <c r="I75" s="11"/>
      <c r="J75" s="11"/>
      <c r="K75" s="11"/>
      <c r="L75" s="11"/>
      <c r="P75" s="11"/>
      <c r="Q75" s="11"/>
    </row>
    <row r="76" spans="1:17" s="6" customFormat="1" ht="20.100000000000001" customHeight="1" x14ac:dyDescent="0.2">
      <c r="A76" s="15" t="s">
        <v>74</v>
      </c>
      <c r="B76" s="15" t="s">
        <v>92</v>
      </c>
      <c r="C76" s="179"/>
      <c r="D76" s="179"/>
      <c r="E76" s="179"/>
      <c r="F76" s="12"/>
      <c r="G76" s="12"/>
      <c r="H76" s="11"/>
      <c r="I76" s="11"/>
      <c r="J76" s="11"/>
      <c r="K76" s="11"/>
      <c r="L76" s="11"/>
      <c r="P76" s="11"/>
      <c r="Q76" s="11"/>
    </row>
    <row r="77" spans="1:17" s="6" customFormat="1" ht="20.100000000000001" customHeight="1" x14ac:dyDescent="0.2">
      <c r="A77" s="15" t="s">
        <v>75</v>
      </c>
      <c r="B77" s="15" t="s">
        <v>93</v>
      </c>
      <c r="C77" s="13"/>
      <c r="D77" s="16"/>
      <c r="E77" s="13"/>
      <c r="F77" s="15"/>
      <c r="G77" s="15"/>
      <c r="H77" s="35"/>
      <c r="I77" s="35"/>
      <c r="J77" s="35"/>
      <c r="K77" s="35"/>
      <c r="L77" s="35"/>
      <c r="P77" s="11"/>
      <c r="Q77" s="11"/>
    </row>
    <row r="78" spans="1:17" s="6" customFormat="1" ht="20.100000000000001" customHeight="1" x14ac:dyDescent="0.2">
      <c r="A78" s="104" t="s">
        <v>76</v>
      </c>
      <c r="B78" s="104" t="s">
        <v>253</v>
      </c>
      <c r="C78" s="105"/>
      <c r="D78" s="106"/>
      <c r="E78" s="105"/>
      <c r="F78" s="104"/>
      <c r="G78" s="104"/>
      <c r="H78" s="35"/>
      <c r="I78" s="35"/>
      <c r="J78" s="35"/>
      <c r="K78" s="35"/>
      <c r="L78" s="35"/>
      <c r="P78" s="35"/>
      <c r="Q78" s="35"/>
    </row>
    <row r="79" spans="1:17" s="6" customFormat="1" ht="20.100000000000001" customHeight="1" x14ac:dyDescent="0.2">
      <c r="A79" s="104" t="s">
        <v>77</v>
      </c>
      <c r="B79" s="104" t="s">
        <v>94</v>
      </c>
      <c r="C79" s="105"/>
      <c r="D79" s="106"/>
      <c r="E79" s="105"/>
      <c r="F79" s="104"/>
      <c r="G79" s="104"/>
      <c r="H79" s="35"/>
      <c r="I79" s="35"/>
      <c r="J79" s="35"/>
      <c r="K79" s="35"/>
      <c r="L79" s="35"/>
      <c r="P79" s="35"/>
      <c r="Q79" s="35"/>
    </row>
    <row r="80" spans="1:17" s="6" customFormat="1" ht="20.100000000000001" customHeight="1" x14ac:dyDescent="0.2">
      <c r="A80" s="104" t="s">
        <v>78</v>
      </c>
      <c r="B80" s="104" t="s">
        <v>249</v>
      </c>
      <c r="C80" s="105"/>
      <c r="D80" s="106"/>
      <c r="E80" s="105"/>
      <c r="F80" s="104"/>
      <c r="G80" s="104"/>
      <c r="H80" s="35"/>
      <c r="I80" s="35"/>
      <c r="J80" s="35"/>
      <c r="K80" s="35"/>
      <c r="L80" s="35"/>
      <c r="P80" s="35"/>
      <c r="Q80" s="35"/>
    </row>
    <row r="81" spans="1:29" s="6" customFormat="1" ht="20.100000000000001" customHeight="1" x14ac:dyDescent="0.2">
      <c r="A81" s="104" t="s">
        <v>79</v>
      </c>
      <c r="B81" s="104" t="s">
        <v>95</v>
      </c>
      <c r="C81" s="105"/>
      <c r="D81" s="106"/>
      <c r="E81" s="105"/>
      <c r="F81" s="104"/>
      <c r="G81" s="104"/>
      <c r="H81" s="35"/>
      <c r="I81" s="35"/>
      <c r="J81" s="35"/>
      <c r="K81" s="35"/>
      <c r="L81" s="35"/>
      <c r="P81" s="35"/>
      <c r="Q81" s="35"/>
    </row>
    <row r="82" spans="1:29" s="6" customFormat="1" ht="20.100000000000001" customHeight="1" x14ac:dyDescent="0.2">
      <c r="A82" s="104" t="s">
        <v>80</v>
      </c>
      <c r="B82" s="104" t="s">
        <v>96</v>
      </c>
      <c r="C82" s="105"/>
      <c r="D82" s="106"/>
      <c r="E82" s="105"/>
      <c r="F82" s="104"/>
      <c r="G82" s="104"/>
      <c r="H82" s="35"/>
      <c r="I82" s="35"/>
      <c r="J82" s="35"/>
      <c r="K82" s="35"/>
      <c r="L82" s="35"/>
      <c r="P82" s="35"/>
      <c r="Q82" s="35"/>
    </row>
    <row r="83" spans="1:29" s="6" customFormat="1" ht="20.100000000000001" customHeight="1" x14ac:dyDescent="0.2">
      <c r="A83" s="104" t="s">
        <v>81</v>
      </c>
      <c r="B83" s="104" t="s">
        <v>97</v>
      </c>
      <c r="C83" s="105"/>
      <c r="D83" s="106"/>
      <c r="E83" s="105"/>
      <c r="F83" s="104"/>
      <c r="G83" s="104"/>
      <c r="H83" s="35"/>
      <c r="I83" s="35"/>
      <c r="J83" s="35"/>
      <c r="K83" s="35"/>
      <c r="L83" s="35"/>
      <c r="P83" s="35"/>
      <c r="Q83" s="35"/>
    </row>
    <row r="84" spans="1:29" s="6" customFormat="1" ht="20.100000000000001" customHeight="1" x14ac:dyDescent="0.2">
      <c r="A84" s="104" t="s">
        <v>82</v>
      </c>
      <c r="B84" s="104" t="s">
        <v>254</v>
      </c>
      <c r="C84" s="105"/>
      <c r="D84" s="106"/>
      <c r="E84" s="105"/>
      <c r="F84" s="104"/>
      <c r="G84" s="104"/>
      <c r="H84" s="35"/>
      <c r="I84" s="35"/>
      <c r="J84" s="35"/>
      <c r="K84" s="35"/>
      <c r="L84" s="35"/>
      <c r="P84" s="35"/>
      <c r="Q84" s="35"/>
    </row>
    <row r="85" spans="1:29" s="6" customFormat="1" ht="20.100000000000001" customHeight="1" x14ac:dyDescent="0.2">
      <c r="A85" s="104" t="s">
        <v>83</v>
      </c>
      <c r="B85" s="104" t="s">
        <v>270</v>
      </c>
      <c r="C85" s="105"/>
      <c r="D85" s="105"/>
      <c r="E85" s="106"/>
      <c r="F85" s="104"/>
      <c r="G85" s="106"/>
      <c r="H85" s="18"/>
      <c r="I85" s="35"/>
      <c r="J85" s="35"/>
      <c r="K85" s="35"/>
      <c r="L85" s="35"/>
      <c r="P85" s="35"/>
      <c r="Q85" s="35"/>
    </row>
    <row r="86" spans="1:29" s="6" customFormat="1" ht="20.100000000000001" customHeight="1" x14ac:dyDescent="0.2">
      <c r="A86" s="107"/>
      <c r="B86" s="107"/>
      <c r="C86" s="107"/>
      <c r="D86" s="107"/>
      <c r="E86" s="107"/>
      <c r="F86" s="107"/>
      <c r="G86" s="107"/>
      <c r="H86" s="35"/>
      <c r="I86" s="35"/>
      <c r="J86" s="35"/>
      <c r="K86" s="35"/>
      <c r="L86" s="35"/>
      <c r="P86" s="35"/>
      <c r="Q86" s="35"/>
    </row>
    <row r="87" spans="1:29" s="6" customFormat="1" ht="33.75" customHeight="1" x14ac:dyDescent="0.2">
      <c r="A87" s="161" t="s">
        <v>255</v>
      </c>
      <c r="B87" s="161"/>
      <c r="C87" s="161"/>
      <c r="D87" s="161"/>
      <c r="E87" s="161"/>
      <c r="F87" s="161"/>
      <c r="G87" s="161"/>
      <c r="P87" s="10"/>
      <c r="Q87" s="10"/>
      <c r="R87" s="10"/>
      <c r="S87" s="10"/>
      <c r="T87" s="10"/>
      <c r="U87" s="10"/>
      <c r="V87" s="10"/>
      <c r="W87" s="10"/>
      <c r="X87" s="10"/>
      <c r="Y87" s="10"/>
      <c r="Z87" s="10"/>
      <c r="AA87" s="10"/>
      <c r="AB87" s="10"/>
      <c r="AC87" s="10"/>
    </row>
    <row r="88" spans="1:29" s="6" customFormat="1" ht="20.100000000000001" customHeight="1" x14ac:dyDescent="0.2"/>
    <row r="89" spans="1:29" s="6" customFormat="1" ht="20.100000000000001" customHeight="1" x14ac:dyDescent="0.2"/>
    <row r="90" spans="1:29" s="6" customFormat="1" ht="20.100000000000001" customHeight="1" x14ac:dyDescent="0.2"/>
    <row r="91" spans="1:29" s="6" customFormat="1" ht="20.100000000000001" customHeight="1" x14ac:dyDescent="0.2"/>
    <row r="92" spans="1:29" s="6" customFormat="1" ht="20.100000000000001" customHeight="1" x14ac:dyDescent="0.2">
      <c r="B92" s="19"/>
      <c r="C92" s="20"/>
      <c r="D92" s="19"/>
      <c r="E92" s="19"/>
      <c r="F92" s="19"/>
      <c r="G92" s="20"/>
    </row>
    <row r="93" spans="1:29" s="6" customFormat="1" ht="20.100000000000001" customHeight="1" x14ac:dyDescent="0.2">
      <c r="B93" s="23"/>
      <c r="C93" s="24"/>
      <c r="D93" s="9"/>
      <c r="E93" s="17"/>
      <c r="F93" s="25"/>
      <c r="G93" s="9"/>
    </row>
    <row r="94" spans="1:29" s="6" customFormat="1" ht="20.100000000000001" customHeight="1" x14ac:dyDescent="0.2">
      <c r="B94" s="23"/>
      <c r="C94" s="24"/>
      <c r="D94" s="9"/>
      <c r="E94" s="17"/>
      <c r="F94" s="25"/>
      <c r="G94" s="9"/>
      <c r="H94" s="20"/>
      <c r="I94" s="20"/>
      <c r="J94" s="21"/>
      <c r="K94" s="22"/>
      <c r="L94" s="22"/>
      <c r="M94" s="22"/>
      <c r="N94" s="22"/>
      <c r="O94" s="20"/>
      <c r="P94" s="20"/>
      <c r="Q94" s="20"/>
      <c r="R94" s="20"/>
    </row>
    <row r="95" spans="1:29" s="6" customFormat="1" ht="20.100000000000001" customHeight="1" x14ac:dyDescent="0.2">
      <c r="B95" s="23"/>
      <c r="C95" s="24"/>
      <c r="D95" s="9"/>
      <c r="E95" s="17"/>
      <c r="F95" s="25"/>
      <c r="G95" s="9"/>
      <c r="H95" s="9"/>
    </row>
    <row r="96" spans="1:29" s="6" customFormat="1" ht="20.100000000000001" customHeight="1" x14ac:dyDescent="0.2">
      <c r="B96" s="23"/>
      <c r="C96" s="24"/>
      <c r="D96" s="9"/>
      <c r="E96" s="17"/>
      <c r="F96" s="25"/>
      <c r="G96" s="9"/>
      <c r="H96" s="9"/>
    </row>
    <row r="97" spans="1:8" s="6" customFormat="1" ht="20.100000000000001" customHeight="1" x14ac:dyDescent="0.2">
      <c r="A97" s="3"/>
      <c r="B97" s="26"/>
      <c r="C97" s="24"/>
      <c r="D97" s="27"/>
      <c r="E97" s="28"/>
      <c r="F97" s="25"/>
      <c r="G97" s="27"/>
      <c r="H97" s="9"/>
    </row>
    <row r="98" spans="1:8" s="6" customFormat="1" ht="20.100000000000001" customHeight="1" x14ac:dyDescent="0.2">
      <c r="A98" s="3"/>
      <c r="B98" s="26"/>
      <c r="C98" s="24"/>
      <c r="D98" s="27"/>
      <c r="E98" s="28"/>
      <c r="F98" s="25"/>
      <c r="G98" s="27"/>
      <c r="H98" s="9"/>
    </row>
  </sheetData>
  <sheetProtection password="DD2A" sheet="1" selectLockedCells="1"/>
  <mergeCells count="43">
    <mergeCell ref="C75:E76"/>
    <mergeCell ref="A62:F62"/>
    <mergeCell ref="A61:F61"/>
    <mergeCell ref="A87:G87"/>
    <mergeCell ref="B30:G30"/>
    <mergeCell ref="B32:G32"/>
    <mergeCell ref="B37:G37"/>
    <mergeCell ref="B41:G41"/>
    <mergeCell ref="A42:A43"/>
    <mergeCell ref="B42:B43"/>
    <mergeCell ref="C42:C43"/>
    <mergeCell ref="G42:G43"/>
    <mergeCell ref="B47:G47"/>
    <mergeCell ref="B50:G50"/>
    <mergeCell ref="B54:G54"/>
    <mergeCell ref="B56:G56"/>
    <mergeCell ref="A60:F60"/>
    <mergeCell ref="C72:F74"/>
    <mergeCell ref="C69:F71"/>
    <mergeCell ref="A63:B64"/>
    <mergeCell ref="C63:F63"/>
    <mergeCell ref="C64:F64"/>
    <mergeCell ref="A67:G67"/>
    <mergeCell ref="A1:G1"/>
    <mergeCell ref="A2:B2"/>
    <mergeCell ref="E2:G2"/>
    <mergeCell ref="A3:B3"/>
    <mergeCell ref="E3:G3"/>
    <mergeCell ref="B23:G23"/>
    <mergeCell ref="C4:C5"/>
    <mergeCell ref="D4:D5"/>
    <mergeCell ref="E4:F4"/>
    <mergeCell ref="G4:G5"/>
    <mergeCell ref="B6:G6"/>
    <mergeCell ref="B7:G7"/>
    <mergeCell ref="B12:G12"/>
    <mergeCell ref="B17:G17"/>
    <mergeCell ref="B18:G18"/>
    <mergeCell ref="I63:I64"/>
    <mergeCell ref="I8:I11"/>
    <mergeCell ref="I13:I16"/>
    <mergeCell ref="I19:I22"/>
    <mergeCell ref="I24:I27"/>
  </mergeCells>
  <conditionalFormatting sqref="G8:G11">
    <cfRule type="notContainsText" dxfId="42" priority="52" operator="notContains" text="Eingabe bei Pkt. 1.2">
      <formula>ISERROR(SEARCH("Eingabe bei Pkt. 1.2",G8))</formula>
    </cfRule>
    <cfRule type="cellIs" dxfId="41" priority="51" operator="equal">
      <formula>""</formula>
    </cfRule>
    <cfRule type="containsText" dxfId="40" priority="54" operator="containsText" text="Eingabe bei Pkt. 1.2">
      <formula>NOT(ISERROR(SEARCH("Eingabe bei Pkt. 1.2",G8)))</formula>
    </cfRule>
  </conditionalFormatting>
  <conditionalFormatting sqref="G13:G16">
    <cfRule type="cellIs" dxfId="39" priority="48" operator="equal">
      <formula>""</formula>
    </cfRule>
    <cfRule type="containsText" dxfId="38" priority="50" operator="containsText" text="Eingabe bei Pkt. 1.1">
      <formula>NOT(ISERROR(SEARCH("Eingabe bei Pkt. 1.1",G13)))</formula>
    </cfRule>
    <cfRule type="notContainsText" dxfId="37" priority="49" operator="notContains" text="Eingabe bei Pkt. 1.1">
      <formula>ISERROR(SEARCH("Eingabe bei Pkt. 1.1",G13))</formula>
    </cfRule>
  </conditionalFormatting>
  <conditionalFormatting sqref="G19:G22">
    <cfRule type="containsText" dxfId="36" priority="47" operator="containsText" text="Eingabe bei Pkt. 1.3.2">
      <formula>NOT(ISERROR(SEARCH("Eingabe bei Pkt. 1.3.2",G19)))</formula>
    </cfRule>
    <cfRule type="notContainsText" dxfId="35" priority="46" operator="notContains" text="Eingabe bei Pkt. 1.3.2">
      <formula>ISERROR(SEARCH("Eingabe bei Pkt. 1.3.2",G19))</formula>
    </cfRule>
    <cfRule type="cellIs" dxfId="34" priority="45" operator="equal">
      <formula>""</formula>
    </cfRule>
  </conditionalFormatting>
  <conditionalFormatting sqref="G24:G27">
    <cfRule type="containsText" dxfId="33" priority="44" operator="containsText" text="Eingabe bei Pkt. 1.3.1">
      <formula>NOT(ISERROR(SEARCH("Eingabe bei Pkt. 1.3.1",G24)))</formula>
    </cfRule>
    <cfRule type="notContainsText" dxfId="32" priority="43" operator="notContains" text="Eingabe bei Pkt. 1.3.1">
      <formula>ISERROR(SEARCH("Eingabe bei Pkt. 1.3.1",G24))</formula>
    </cfRule>
  </conditionalFormatting>
  <conditionalFormatting sqref="G24:G29">
    <cfRule type="cellIs" dxfId="31" priority="38" operator="equal">
      <formula>""</formula>
    </cfRule>
  </conditionalFormatting>
  <conditionalFormatting sqref="G28:G29">
    <cfRule type="cellIs" dxfId="30" priority="39" operator="notEqual">
      <formula>""</formula>
    </cfRule>
  </conditionalFormatting>
  <conditionalFormatting sqref="G31">
    <cfRule type="cellIs" dxfId="29" priority="37" operator="notEqual">
      <formula>""</formula>
    </cfRule>
    <cfRule type="cellIs" dxfId="28" priority="36" operator="equal">
      <formula>""</formula>
    </cfRule>
  </conditionalFormatting>
  <conditionalFormatting sqref="G33:G36">
    <cfRule type="cellIs" dxfId="27" priority="34" operator="equal">
      <formula>""</formula>
    </cfRule>
    <cfRule type="cellIs" dxfId="26" priority="35" operator="notEqual">
      <formula>""</formula>
    </cfRule>
  </conditionalFormatting>
  <conditionalFormatting sqref="G38:G40">
    <cfRule type="cellIs" dxfId="25" priority="33" operator="notEqual">
      <formula>""</formula>
    </cfRule>
    <cfRule type="cellIs" dxfId="24" priority="32" operator="equal">
      <formula>""</formula>
    </cfRule>
  </conditionalFormatting>
  <conditionalFormatting sqref="G42:G43">
    <cfRule type="cellIs" dxfId="23" priority="31" operator="notEqual">
      <formula>""</formula>
    </cfRule>
    <cfRule type="cellIs" dxfId="22" priority="30" operator="equal">
      <formula>""</formula>
    </cfRule>
  </conditionalFormatting>
  <conditionalFormatting sqref="G45:G46">
    <cfRule type="cellIs" dxfId="21" priority="28" operator="equal">
      <formula>""</formula>
    </cfRule>
    <cfRule type="cellIs" dxfId="20" priority="29" operator="notEqual">
      <formula>""</formula>
    </cfRule>
  </conditionalFormatting>
  <conditionalFormatting sqref="G48:G49">
    <cfRule type="cellIs" dxfId="19" priority="25" operator="notEqual">
      <formula>""</formula>
    </cfRule>
    <cfRule type="cellIs" dxfId="18" priority="24" operator="equal">
      <formula>""</formula>
    </cfRule>
  </conditionalFormatting>
  <conditionalFormatting sqref="G51:G53">
    <cfRule type="cellIs" dxfId="17" priority="21" operator="notEqual">
      <formula>""</formula>
    </cfRule>
    <cfRule type="cellIs" dxfId="16" priority="20" operator="equal">
      <formula>""</formula>
    </cfRule>
  </conditionalFormatting>
  <conditionalFormatting sqref="G55">
    <cfRule type="cellIs" dxfId="15" priority="19" operator="notEqual">
      <formula>""</formula>
    </cfRule>
    <cfRule type="cellIs" dxfId="14" priority="18" operator="equal">
      <formula>""</formula>
    </cfRule>
  </conditionalFormatting>
  <conditionalFormatting sqref="G58:G59">
    <cfRule type="cellIs" dxfId="13" priority="17" operator="notEqual">
      <formula>""</formula>
    </cfRule>
    <cfRule type="cellIs" dxfId="12" priority="16" operator="equal">
      <formula>""</formula>
    </cfRule>
  </conditionalFormatting>
  <conditionalFormatting sqref="G60:G66">
    <cfRule type="cellIs" dxfId="11" priority="1" operator="greaterThan">
      <formula>0</formula>
    </cfRule>
  </conditionalFormatting>
  <conditionalFormatting sqref="I8">
    <cfRule type="containsText" dxfId="10" priority="15" operator="containsText" text="Eingabe bei Pkt. 1.2">
      <formula>NOT(ISERROR(SEARCH("Eingabe bei Pkt. 1.2",I8)))</formula>
    </cfRule>
    <cfRule type="cellIs" dxfId="9" priority="14" operator="equal">
      <formula>""</formula>
    </cfRule>
  </conditionalFormatting>
  <conditionalFormatting sqref="I13">
    <cfRule type="cellIs" dxfId="8" priority="12" operator="equal">
      <formula>""</formula>
    </cfRule>
    <cfRule type="containsText" dxfId="7" priority="13" operator="containsText" text="Eingabe bei Pkt. 1.1">
      <formula>NOT(ISERROR(SEARCH("Eingabe bei Pkt. 1.1",I13)))</formula>
    </cfRule>
  </conditionalFormatting>
  <conditionalFormatting sqref="I19">
    <cfRule type="containsText" dxfId="6" priority="11" operator="containsText" text="Eingabe bei Pkt. 1.3.2">
      <formula>NOT(ISERROR(SEARCH("Eingabe bei Pkt. 1.3.2",I19)))</formula>
    </cfRule>
    <cfRule type="cellIs" dxfId="5" priority="10" operator="equal">
      <formula>""</formula>
    </cfRule>
  </conditionalFormatting>
  <conditionalFormatting sqref="I24">
    <cfRule type="containsText" dxfId="4" priority="9" operator="containsText" text="Eingabe bei Pkt. 1.3.1">
      <formula>NOT(ISERROR(SEARCH("Eingabe bei Pkt. 1.3.1",I24)))</formula>
    </cfRule>
    <cfRule type="cellIs" dxfId="3" priority="8" operator="equal">
      <formula>""</formula>
    </cfRule>
  </conditionalFormatting>
  <conditionalFormatting sqref="I61">
    <cfRule type="containsText" dxfId="2" priority="6" operator="containsText" text="Eingabe bei Pkt. 1.2">
      <formula>NOT(ISERROR(SEARCH("Eingabe bei Pkt. 1.2",I61)))</formula>
    </cfRule>
  </conditionalFormatting>
  <conditionalFormatting sqref="I61:I62">
    <cfRule type="cellIs" dxfId="1" priority="2" operator="equal">
      <formula>""</formula>
    </cfRule>
  </conditionalFormatting>
  <dataValidations count="2">
    <dataValidation type="whole" operator="greaterThan" allowBlank="1" showInputMessage="1" showErrorMessage="1" errorTitle="ACHTUNG" error="Anzahl muss eine GANZE ZAHL und größer 0 sein!" sqref="F55 F51:F53 F31 F8:F11 F13:F16 F19:F22 F24:F29 F33:F36 F38:F40 F42:F46 F48:F49 F57 F59" xr:uid="{00000000-0002-0000-0400-000000000000}">
      <formula1>0</formula1>
    </dataValidation>
    <dataValidation type="decimal" operator="greaterThan" allowBlank="1" showInputMessage="1" showErrorMessage="1" errorTitle="ACHTUNG" error="Anzahl muss eine GANZE ZAHL und größer 0 sein!" sqref="F58" xr:uid="{00000000-0002-0000-0400-000001000000}">
      <formula1>0</formula1>
    </dataValidation>
  </dataValidations>
  <pageMargins left="0.23622047244094491" right="0.23622047244094491" top="0.74803149606299213" bottom="0.74803149606299213" header="0.31496062992125984" footer="0.31496062992125984"/>
  <pageSetup paperSize="9" scale="66" fitToHeight="0" orientation="portrait" r:id="rId1"/>
  <headerFooter>
    <oddFooter>&amp;L&amp;D, &amp;T&amp;Cübriges Siedlungsgebiet&amp;RSeite &amp;P von &amp;N
BFP V 2025-1</oddFooter>
  </headerFooter>
  <rowBreaks count="1" manualBreakCount="1">
    <brk id="40" max="6"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text="Eingabe bei Pkt. 1.2" id="{D2EAAAC1-3D33-4FB1-AD67-3F5DF0E791BE}">
            <xm:f>NOT(ISERROR(SEARCH("Eingabe bei Pkt. 1.2",'Zentrales Hauptsiedlungsgebiet'!I62)))</xm:f>
            <x14:dxf>
              <font>
                <b/>
                <i val="0"/>
                <color theme="0"/>
              </font>
              <fill>
                <patternFill>
                  <bgColor rgb="FFFF0000"/>
                </patternFill>
              </fill>
            </x14:dxf>
          </x14:cfRule>
          <xm:sqref>I62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4</vt:i4>
      </vt:variant>
    </vt:vector>
  </HeadingPairs>
  <TitlesOfParts>
    <vt:vector size="9" baseType="lpstr">
      <vt:lpstr>Zentrales Hauptsiedlungsgebiet</vt:lpstr>
      <vt:lpstr>Hauptsiedlungsgebiet</vt:lpstr>
      <vt:lpstr>peripheres Hauptsiedlungsgebiet</vt:lpstr>
      <vt:lpstr>übriges Siedlungsgebiet</vt:lpstr>
      <vt:lpstr>Gebietsabgrenzungs Übersicht</vt:lpstr>
      <vt:lpstr>Hauptsiedlungsgebiet!Druckbereich</vt:lpstr>
      <vt:lpstr>'peripheres Hauptsiedlungsgebiet'!Druckbereich</vt:lpstr>
      <vt:lpstr>'übriges Siedlungsgebiet'!Druckbereich</vt:lpstr>
      <vt:lpstr>'Zentrales Hauptsiedlungsgebiet'!Druckbereich</vt:lpstr>
    </vt:vector>
  </TitlesOfParts>
  <Company>Stadtmagistrat Innsbruck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Leber Stefan</dc:creator>
  <cp:lastModifiedBy>Gura Martina</cp:lastModifiedBy>
  <cp:lastPrinted>2025-01-03T07:34:38Z</cp:lastPrinted>
  <dcterms:created xsi:type="dcterms:W3CDTF">2017-03-16T10:36:19Z</dcterms:created>
  <dcterms:modified xsi:type="dcterms:W3CDTF">2026-01-05T13:10:43Z</dcterms:modified>
</cp:coreProperties>
</file>